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usepa.sharepoint.com/sites/IntlMethane/Shared Documents/Fossil Fuels/Oil&amp;Gas/Transparency Accelerator/Deliverables/For review Jan 2025/"/>
    </mc:Choice>
  </mc:AlternateContent>
  <xr:revisionPtr revIDLastSave="18" documentId="13_ncr:1_{6E60FF1D-95DB-4488-9643-F28797399D8D}" xr6:coauthVersionLast="47" xr6:coauthVersionMax="47" xr10:uidLastSave="{C1414ED7-49C6-40F3-B070-5DCFD316557C}"/>
  <bookViews>
    <workbookView xWindow="-110" yWindow="-110" windowWidth="19420" windowHeight="10300" tabRatio="933" activeTab="1" xr2:uid="{00000000-000D-0000-FFFF-FFFF00000000}"/>
  </bookViews>
  <sheets>
    <sheet name="Cover" sheetId="35" r:id="rId1"/>
    <sheet name="Language &amp; User Guidance" sheetId="32" r:id="rId2"/>
    <sheet name="Contents" sheetId="34" r:id="rId3"/>
    <sheet name="Results (Graphical)" sheetId="39" r:id="rId4"/>
    <sheet name="Results (Tabular)" sheetId="38" r:id="rId5"/>
    <sheet name="Setup - IPCC Assessment" sheetId="36" r:id="rId6"/>
    <sheet name="Calculations – IPCC" sheetId="37" r:id="rId7"/>
    <sheet name="Constants" sheetId="8" state="hidden" r:id="rId8"/>
    <sheet name="Lookup Tables" sheetId="6" state="hidden" r:id="rId9"/>
    <sheet name="Lookup Lists" sheetId="7" state="hidden" r:id="rId10"/>
    <sheet name="Translation Table" sheetId="31" state="hidden" r:id="rId11"/>
  </sheets>
  <definedNames>
    <definedName name="_xlnm._FilterDatabase" localSheetId="10" hidden="1">'Translation Table'!$A$3:$J$733</definedName>
    <definedName name="All">#REF!</definedName>
    <definedName name="AppType">'Lookup Lists'!$B$62:$B$68</definedName>
    <definedName name="DehydratorType">'Lookup Lists'!$B$10:$B$12</definedName>
    <definedName name="English">'Lookup Tables'!$C$155</definedName>
    <definedName name="EspañolColombia">'Lookup Tables'!$C$157</definedName>
    <definedName name="FacilityLists">INDEX('Lookup Tables'!$B$116:$G$125,0,MATCH(#REF!,'Lookup Tables'!$B$115:$G$115,0))</definedName>
    <definedName name="FacilitySelection">OFFSET(FacilityLists,0,0,COUNTA(FacilityLists),1)</definedName>
    <definedName name="Flags">INDIRECT('Language &amp; User Guidance'!$S$1)</definedName>
    <definedName name="FTSource">OFFSET('Lookup Tables'!$H$115,0,0,COUNTA(RangeSource)-COUNTBLANK(RangeSource)+1,1)</definedName>
    <definedName name="GasDistribution">'Lookup Lists'!$B$9</definedName>
    <definedName name="GaseousFuels">'Lookup Lists'!$B$55:$B$61</definedName>
    <definedName name="GasProcessing">'Lookup Lists'!$B$6</definedName>
    <definedName name="GasStorage">'Lookup Lists'!$B$8</definedName>
    <definedName name="GasTransmission">'Lookup Lists'!$B$7</definedName>
    <definedName name="Heavy">'Lookup Lists'!$B$19</definedName>
    <definedName name="HydrocarbonLiquids">'Lookup Lists'!$B$16:$B$20</definedName>
    <definedName name="Light">'Lookup Lists'!$B$17</definedName>
    <definedName name="LiquidFuels">'Lookup Lists'!$B$44:$B$54</definedName>
    <definedName name="M_C">Constants!$H$31</definedName>
    <definedName name="M_C10">Constants!$C$16</definedName>
    <definedName name="M_C2">Constants!$C$6</definedName>
    <definedName name="M_C3">Constants!$C$7</definedName>
    <definedName name="M_C6">Constants!$C$12</definedName>
    <definedName name="M_C7">Constants!$C$13</definedName>
    <definedName name="M_C8">Constants!$C$14</definedName>
    <definedName name="M_C9">Constants!$C$15</definedName>
    <definedName name="M_CH4">Constants!$C$5</definedName>
    <definedName name="M_CO">Constants!$C$24</definedName>
    <definedName name="M_CO2">Constants!$C$18</definedName>
    <definedName name="M_H">Constants!$H$32</definedName>
    <definedName name="M_H2O">Constants!$C$20</definedName>
    <definedName name="M_H2S">Constants!$C$17</definedName>
    <definedName name="M_iC4">Constants!$C$8</definedName>
    <definedName name="M_iC5">Constants!$C$10</definedName>
    <definedName name="M_N">Constants!$H$34</definedName>
    <definedName name="M_N2">Constants!$C$19</definedName>
    <definedName name="M_N2O">Constants!$C$25</definedName>
    <definedName name="M_nC4">Constants!$C$9</definedName>
    <definedName name="M_nC5">Constants!$C$11</definedName>
    <definedName name="M_NMVOC">Constants!$C$27</definedName>
    <definedName name="M_NOx">Constants!$C$26</definedName>
    <definedName name="M_O">Constants!$H$33</definedName>
    <definedName name="M_O2">Constants!$C$22</definedName>
    <definedName name="M_S">Constants!$H$35</definedName>
    <definedName name="M_SO2">Constants!$C$21</definedName>
    <definedName name="Medium">'Lookup Lists'!$B$18</definedName>
    <definedName name="NaturalGas">'Lookup Lists'!$B$15</definedName>
    <definedName name="OffshoreProduction">'Lookup Lists'!$B$5</definedName>
    <definedName name="OnshoreProduction">'Lookup Lists'!$B$4</definedName>
    <definedName name="_xlnm.Print_Area" localSheetId="3">'Results (Graphical)'!$A$1:$P$36</definedName>
    <definedName name="_xlnm.Print_Area" localSheetId="4">'Results (Tabular)'!$A$1:$J$32</definedName>
    <definedName name="_xlnm.Print_Area" localSheetId="5">'Setup - IPCC Assessment'!$B$1:$M$603</definedName>
    <definedName name="_xlnm.Print_Titles" localSheetId="5">'Setup - IPCC Assessment'!$20:$22</definedName>
    <definedName name="Ps">Constants!$B$32</definedName>
    <definedName name="PTSource">OFFSET(#REF!,0,0,COUNTA(PTRange)-COUNTIF(PTRange,0)+1,1)</definedName>
    <definedName name="RangeSource">'Lookup Tables'!$H$116:$H$126</definedName>
    <definedName name="SolidFuels">'Lookup Lists'!$B$35:$B$43</definedName>
    <definedName name="SourceOfProperty">'Lookup Lists'!$B$31:$B$34</definedName>
    <definedName name="SourceOfQuantity">'Lookup Lists'!$B$27:$B$30</definedName>
    <definedName name="start">'Lookup Tables'!$E$4</definedName>
    <definedName name="TblErrorMsg">'Lookup Tables'!$B$131:$C$149</definedName>
    <definedName name="Ts">Constants!$B$31</definedName>
    <definedName name="ValidCompCrankcaseCF">'Lookup Tables'!$C$87:$C$88</definedName>
    <definedName name="ValidCompSealCF">'Lookup Tables'!$C$89:$C$91</definedName>
    <definedName name="ValidConnectorCF">'Lookup Tables'!$C$92:$C$93</definedName>
    <definedName name="ValidControllerTypes">'Lookup Lists'!$B$21:$B$26</definedName>
    <definedName name="ValidDehydratorTypes">'Lookup Lists'!$B$11:$B$12</definedName>
    <definedName name="ValidDrainCF">'Lookup Tables'!$C$94:$C$95</definedName>
    <definedName name="ValidHydrocarbonLiquidCategories">'Lookup Lists'!$B$17:$B$20</definedName>
    <definedName name="ValidIndustrySegments">'Lookup Lists'!$B$3:$B$9</definedName>
    <definedName name="ValidOELCF">'Lookup Tables'!$C$96:$C$97</definedName>
    <definedName name="ValidOtherCF">'Lookup Tables'!$C$98</definedName>
    <definedName name="ValidPneumaticSupplyGas">'Lookup Lists'!$B$13:$B$15</definedName>
    <definedName name="ValidPRVCF">'Lookup Tables'!$C$99:$C$101</definedName>
    <definedName name="ValidPumpCF">'Lookup Tables'!$C$102:$C$105</definedName>
    <definedName name="ValidRegulatorCF">'Lookup Tables'!$C$106</definedName>
    <definedName name="ValidSampConCF">'Lookup Tables'!$C$107:$C$108</definedName>
    <definedName name="ValidUnitConversions">'Lookup Tables'!$E$5:$E$28</definedName>
    <definedName name="ValidValveCF">'Lookup Tables'!$C$109:$C$110</definedName>
    <definedName name="VeryHeavy">'Lookup Lists'!$B$20</definedName>
    <definedName name="Vstp">Constants!$B$33</definedName>
    <definedName name="中文">'Lookup Tables'!$C$156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25" i="37" l="1"/>
  <c r="O124" i="37"/>
  <c r="O122" i="37"/>
  <c r="O121" i="37"/>
  <c r="O120" i="37"/>
  <c r="O117" i="37"/>
  <c r="O115" i="37"/>
  <c r="O113" i="37"/>
  <c r="O111" i="37"/>
  <c r="O110" i="37"/>
  <c r="O107" i="37"/>
  <c r="O105" i="37"/>
  <c r="O103" i="37"/>
  <c r="O91" i="37"/>
  <c r="O89" i="37"/>
  <c r="O87" i="37"/>
  <c r="O84" i="37"/>
  <c r="O83" i="37"/>
  <c r="O81" i="37"/>
  <c r="O80" i="37"/>
  <c r="O78" i="37"/>
  <c r="O77" i="37"/>
  <c r="O76" i="37"/>
  <c r="O75" i="37"/>
  <c r="O74" i="37"/>
  <c r="O73" i="37"/>
  <c r="O72" i="37"/>
  <c r="O71" i="37"/>
  <c r="O70" i="37"/>
  <c r="H44" i="37"/>
  <c r="I44" i="37"/>
  <c r="J44" i="37"/>
  <c r="K44" i="37"/>
  <c r="L44" i="37"/>
  <c r="M44" i="37"/>
  <c r="N44" i="37"/>
  <c r="H45" i="37"/>
  <c r="I45" i="37"/>
  <c r="J45" i="37"/>
  <c r="K45" i="37"/>
  <c r="L45" i="37"/>
  <c r="M45" i="37"/>
  <c r="N45" i="37"/>
  <c r="H46" i="37"/>
  <c r="I46" i="37"/>
  <c r="J46" i="37"/>
  <c r="K46" i="37"/>
  <c r="L46" i="37"/>
  <c r="M46" i="37"/>
  <c r="N46" i="37"/>
  <c r="H47" i="37"/>
  <c r="I47" i="37"/>
  <c r="J47" i="37"/>
  <c r="K47" i="37"/>
  <c r="L47" i="37"/>
  <c r="M47" i="37"/>
  <c r="N47" i="37"/>
  <c r="H48" i="37"/>
  <c r="I48" i="37"/>
  <c r="J48" i="37"/>
  <c r="K48" i="37"/>
  <c r="L48" i="37"/>
  <c r="M48" i="37"/>
  <c r="N48" i="37"/>
  <c r="H49" i="37"/>
  <c r="I49" i="37"/>
  <c r="J49" i="37"/>
  <c r="K49" i="37"/>
  <c r="L49" i="37"/>
  <c r="M49" i="37"/>
  <c r="N49" i="37"/>
  <c r="H50" i="37"/>
  <c r="I50" i="37"/>
  <c r="J50" i="37"/>
  <c r="K50" i="37"/>
  <c r="L50" i="37"/>
  <c r="M50" i="37"/>
  <c r="N50" i="37"/>
  <c r="H51" i="37"/>
  <c r="I51" i="37"/>
  <c r="J51" i="37"/>
  <c r="K51" i="37"/>
  <c r="L51" i="37"/>
  <c r="M51" i="37"/>
  <c r="N51" i="37"/>
  <c r="H52" i="37"/>
  <c r="I52" i="37"/>
  <c r="J52" i="37"/>
  <c r="K52" i="37"/>
  <c r="L52" i="37"/>
  <c r="M52" i="37"/>
  <c r="N52" i="37"/>
  <c r="H53" i="37"/>
  <c r="I53" i="37"/>
  <c r="J53" i="37"/>
  <c r="K53" i="37"/>
  <c r="L53" i="37"/>
  <c r="M53" i="37"/>
  <c r="N53" i="37"/>
  <c r="H54" i="37"/>
  <c r="I54" i="37"/>
  <c r="J54" i="37"/>
  <c r="K54" i="37"/>
  <c r="L54" i="37"/>
  <c r="M54" i="37"/>
  <c r="N54" i="37"/>
  <c r="H55" i="37"/>
  <c r="I55" i="37"/>
  <c r="J55" i="37"/>
  <c r="K55" i="37"/>
  <c r="L55" i="37"/>
  <c r="M55" i="37"/>
  <c r="N55" i="37"/>
  <c r="I58" i="37"/>
  <c r="J58" i="37"/>
  <c r="K58" i="37"/>
  <c r="L58" i="37"/>
  <c r="M58" i="37"/>
  <c r="N58" i="37"/>
  <c r="H59" i="37"/>
  <c r="I59" i="37"/>
  <c r="J59" i="37"/>
  <c r="K59" i="37"/>
  <c r="L59" i="37"/>
  <c r="M59" i="37"/>
  <c r="N59" i="37"/>
  <c r="H60" i="37"/>
  <c r="I60" i="37"/>
  <c r="J60" i="37"/>
  <c r="K60" i="37"/>
  <c r="L60" i="37"/>
  <c r="M60" i="37"/>
  <c r="N60" i="37"/>
  <c r="H61" i="37"/>
  <c r="I61" i="37"/>
  <c r="J61" i="37"/>
  <c r="K61" i="37"/>
  <c r="L61" i="37"/>
  <c r="M61" i="37"/>
  <c r="N61" i="37"/>
  <c r="H62" i="37"/>
  <c r="I62" i="37"/>
  <c r="J62" i="37"/>
  <c r="K62" i="37"/>
  <c r="L62" i="37"/>
  <c r="M62" i="37"/>
  <c r="N62" i="37"/>
  <c r="H63" i="37"/>
  <c r="I63" i="37"/>
  <c r="J63" i="37"/>
  <c r="K63" i="37"/>
  <c r="L63" i="37"/>
  <c r="M63" i="37"/>
  <c r="N63" i="37"/>
  <c r="H64" i="37"/>
  <c r="I64" i="37"/>
  <c r="J64" i="37"/>
  <c r="K64" i="37"/>
  <c r="L64" i="37"/>
  <c r="M64" i="37"/>
  <c r="N64" i="37"/>
  <c r="H65" i="37"/>
  <c r="I65" i="37"/>
  <c r="J65" i="37"/>
  <c r="K65" i="37"/>
  <c r="L65" i="37"/>
  <c r="M65" i="37"/>
  <c r="N65" i="37"/>
  <c r="H66" i="37"/>
  <c r="I66" i="37"/>
  <c r="Q66" i="37" s="1"/>
  <c r="J66" i="37"/>
  <c r="R66" i="37" s="1"/>
  <c r="K66" i="37"/>
  <c r="S66" i="37" s="1"/>
  <c r="L66" i="37"/>
  <c r="T66" i="37" s="1"/>
  <c r="M66" i="37"/>
  <c r="N66" i="37"/>
  <c r="V66" i="37" s="1"/>
  <c r="H67" i="37"/>
  <c r="I67" i="37"/>
  <c r="J67" i="37"/>
  <c r="K67" i="37"/>
  <c r="L67" i="37"/>
  <c r="M67" i="37"/>
  <c r="N67" i="37"/>
  <c r="H68" i="37"/>
  <c r="I68" i="37"/>
  <c r="J68" i="37"/>
  <c r="K68" i="37"/>
  <c r="L68" i="37"/>
  <c r="M68" i="37"/>
  <c r="N68" i="37"/>
  <c r="H69" i="37"/>
  <c r="I69" i="37"/>
  <c r="J69" i="37"/>
  <c r="K69" i="37"/>
  <c r="L69" i="37"/>
  <c r="M69" i="37"/>
  <c r="N69" i="37"/>
  <c r="H70" i="37"/>
  <c r="I70" i="37"/>
  <c r="J70" i="37"/>
  <c r="K70" i="37"/>
  <c r="L70" i="37"/>
  <c r="M70" i="37"/>
  <c r="N70" i="37"/>
  <c r="H71" i="37"/>
  <c r="I71" i="37"/>
  <c r="J71" i="37"/>
  <c r="K71" i="37"/>
  <c r="L71" i="37"/>
  <c r="M71" i="37"/>
  <c r="N71" i="37"/>
  <c r="H72" i="37"/>
  <c r="I72" i="37"/>
  <c r="J72" i="37"/>
  <c r="K72" i="37"/>
  <c r="L72" i="37"/>
  <c r="M72" i="37"/>
  <c r="N72" i="37"/>
  <c r="H73" i="37"/>
  <c r="I73" i="37"/>
  <c r="J73" i="37"/>
  <c r="K73" i="37"/>
  <c r="L73" i="37"/>
  <c r="M73" i="37"/>
  <c r="N73" i="37"/>
  <c r="H74" i="37"/>
  <c r="I74" i="37"/>
  <c r="J74" i="37"/>
  <c r="K74" i="37"/>
  <c r="L74" i="37"/>
  <c r="M74" i="37"/>
  <c r="N74" i="37"/>
  <c r="H75" i="37"/>
  <c r="I75" i="37"/>
  <c r="J75" i="37"/>
  <c r="K75" i="37"/>
  <c r="L75" i="37"/>
  <c r="M75" i="37"/>
  <c r="N75" i="37"/>
  <c r="H76" i="37"/>
  <c r="I76" i="37"/>
  <c r="J76" i="37"/>
  <c r="K76" i="37"/>
  <c r="L76" i="37"/>
  <c r="M76" i="37"/>
  <c r="N76" i="37"/>
  <c r="H77" i="37"/>
  <c r="I77" i="37"/>
  <c r="J77" i="37"/>
  <c r="K77" i="37"/>
  <c r="L77" i="37"/>
  <c r="M77" i="37"/>
  <c r="N77" i="37"/>
  <c r="H78" i="37"/>
  <c r="I78" i="37"/>
  <c r="J78" i="37"/>
  <c r="K78" i="37"/>
  <c r="L78" i="37"/>
  <c r="M78" i="37"/>
  <c r="N78" i="37"/>
  <c r="H79" i="37"/>
  <c r="I79" i="37"/>
  <c r="J79" i="37"/>
  <c r="K79" i="37"/>
  <c r="L79" i="37"/>
  <c r="M79" i="37"/>
  <c r="N79" i="37"/>
  <c r="H80" i="37"/>
  <c r="I80" i="37"/>
  <c r="J80" i="37"/>
  <c r="K80" i="37"/>
  <c r="L80" i="37"/>
  <c r="M80" i="37"/>
  <c r="N80" i="37"/>
  <c r="H81" i="37"/>
  <c r="I81" i="37"/>
  <c r="J81" i="37"/>
  <c r="K81" i="37"/>
  <c r="L81" i="37"/>
  <c r="M81" i="37"/>
  <c r="N81" i="37"/>
  <c r="H82" i="37"/>
  <c r="I82" i="37"/>
  <c r="J82" i="37"/>
  <c r="K82" i="37"/>
  <c r="L82" i="37"/>
  <c r="M82" i="37"/>
  <c r="N82" i="37"/>
  <c r="H83" i="37"/>
  <c r="I83" i="37"/>
  <c r="J83" i="37"/>
  <c r="K83" i="37"/>
  <c r="L83" i="37"/>
  <c r="M83" i="37"/>
  <c r="N83" i="37"/>
  <c r="H84" i="37"/>
  <c r="I84" i="37"/>
  <c r="J84" i="37"/>
  <c r="K84" i="37"/>
  <c r="L84" i="37"/>
  <c r="M84" i="37"/>
  <c r="N84" i="37"/>
  <c r="H85" i="37"/>
  <c r="I85" i="37"/>
  <c r="J85" i="37"/>
  <c r="K85" i="37"/>
  <c r="L85" i="37"/>
  <c r="M85" i="37"/>
  <c r="N85" i="37"/>
  <c r="H86" i="37"/>
  <c r="I86" i="37"/>
  <c r="J86" i="37"/>
  <c r="K86" i="37"/>
  <c r="L86" i="37"/>
  <c r="M86" i="37"/>
  <c r="N86" i="37"/>
  <c r="H87" i="37"/>
  <c r="I87" i="37"/>
  <c r="J87" i="37"/>
  <c r="K87" i="37"/>
  <c r="L87" i="37"/>
  <c r="M87" i="37"/>
  <c r="N87" i="37"/>
  <c r="H88" i="37"/>
  <c r="I88" i="37"/>
  <c r="J88" i="37"/>
  <c r="K88" i="37"/>
  <c r="L88" i="37"/>
  <c r="M88" i="37"/>
  <c r="N88" i="37"/>
  <c r="H89" i="37"/>
  <c r="I89" i="37"/>
  <c r="J89" i="37"/>
  <c r="K89" i="37"/>
  <c r="L89" i="37"/>
  <c r="M89" i="37"/>
  <c r="N89" i="37"/>
  <c r="J91" i="37"/>
  <c r="R91" i="37" s="1"/>
  <c r="K91" i="37"/>
  <c r="S91" i="37" s="1"/>
  <c r="L91" i="37"/>
  <c r="T91" i="37" s="1"/>
  <c r="M91" i="37"/>
  <c r="U91" i="37" s="1"/>
  <c r="N91" i="37"/>
  <c r="V91" i="37" s="1"/>
  <c r="H92" i="37"/>
  <c r="I92" i="37"/>
  <c r="J92" i="37"/>
  <c r="K92" i="37"/>
  <c r="J94" i="37"/>
  <c r="K94" i="37"/>
  <c r="L94" i="37"/>
  <c r="M94" i="37"/>
  <c r="N94" i="37"/>
  <c r="H95" i="37"/>
  <c r="I95" i="37"/>
  <c r="J95" i="37"/>
  <c r="K95" i="37"/>
  <c r="L95" i="37"/>
  <c r="M95" i="37"/>
  <c r="N95" i="37"/>
  <c r="H96" i="37"/>
  <c r="I96" i="37"/>
  <c r="J96" i="37"/>
  <c r="K96" i="37"/>
  <c r="L96" i="37"/>
  <c r="M96" i="37"/>
  <c r="N96" i="37"/>
  <c r="H97" i="37"/>
  <c r="I97" i="37"/>
  <c r="J97" i="37"/>
  <c r="K97" i="37"/>
  <c r="L97" i="37"/>
  <c r="M97" i="37"/>
  <c r="N97" i="37"/>
  <c r="H98" i="37"/>
  <c r="I98" i="37"/>
  <c r="J98" i="37"/>
  <c r="K98" i="37"/>
  <c r="L98" i="37"/>
  <c r="M98" i="37"/>
  <c r="N98" i="37"/>
  <c r="J100" i="37"/>
  <c r="R100" i="37" s="1"/>
  <c r="K100" i="37"/>
  <c r="S100" i="37" s="1"/>
  <c r="L100" i="37"/>
  <c r="T100" i="37" s="1"/>
  <c r="H102" i="37"/>
  <c r="I102" i="37"/>
  <c r="J102" i="37"/>
  <c r="K102" i="37"/>
  <c r="L102" i="37"/>
  <c r="M102" i="37"/>
  <c r="N102" i="37"/>
  <c r="H103" i="37"/>
  <c r="I103" i="37"/>
  <c r="J103" i="37"/>
  <c r="K103" i="37"/>
  <c r="L103" i="37"/>
  <c r="M103" i="37"/>
  <c r="N103" i="37"/>
  <c r="H104" i="37"/>
  <c r="I104" i="37"/>
  <c r="J104" i="37"/>
  <c r="K104" i="37"/>
  <c r="L104" i="37"/>
  <c r="M104" i="37"/>
  <c r="N104" i="37"/>
  <c r="H105" i="37"/>
  <c r="I105" i="37"/>
  <c r="J105" i="37"/>
  <c r="K105" i="37"/>
  <c r="L105" i="37"/>
  <c r="M105" i="37"/>
  <c r="N105" i="37"/>
  <c r="K107" i="37"/>
  <c r="S107" i="37" s="1"/>
  <c r="L107" i="37"/>
  <c r="T107" i="37" s="1"/>
  <c r="M107" i="37"/>
  <c r="U107" i="37" s="1"/>
  <c r="N107" i="37"/>
  <c r="V107" i="37" s="1"/>
  <c r="H108" i="37"/>
  <c r="I108" i="37"/>
  <c r="J108" i="37"/>
  <c r="K108" i="37"/>
  <c r="L108" i="37"/>
  <c r="M108" i="37"/>
  <c r="N108" i="37"/>
  <c r="H109" i="37"/>
  <c r="I109" i="37"/>
  <c r="J109" i="37"/>
  <c r="K109" i="37"/>
  <c r="L109" i="37"/>
  <c r="M109" i="37"/>
  <c r="N109" i="37"/>
  <c r="H110" i="37"/>
  <c r="I110" i="37"/>
  <c r="J110" i="37"/>
  <c r="K110" i="37"/>
  <c r="L110" i="37"/>
  <c r="M110" i="37"/>
  <c r="N110" i="37"/>
  <c r="H111" i="37"/>
  <c r="I111" i="37"/>
  <c r="J111" i="37"/>
  <c r="K111" i="37"/>
  <c r="L111" i="37"/>
  <c r="M111" i="37"/>
  <c r="N111" i="37"/>
  <c r="H112" i="37"/>
  <c r="I112" i="37"/>
  <c r="J112" i="37"/>
  <c r="K112" i="37"/>
  <c r="L112" i="37"/>
  <c r="M112" i="37"/>
  <c r="N112" i="37"/>
  <c r="H113" i="37"/>
  <c r="I113" i="37"/>
  <c r="J113" i="37"/>
  <c r="K113" i="37"/>
  <c r="L113" i="37"/>
  <c r="M113" i="37"/>
  <c r="N113" i="37"/>
  <c r="H114" i="37"/>
  <c r="I114" i="37"/>
  <c r="J114" i="37"/>
  <c r="K114" i="37"/>
  <c r="L114" i="37"/>
  <c r="M114" i="37"/>
  <c r="N114" i="37"/>
  <c r="H115" i="37"/>
  <c r="I115" i="37"/>
  <c r="J115" i="37"/>
  <c r="K115" i="37"/>
  <c r="L115" i="37"/>
  <c r="M115" i="37"/>
  <c r="N115" i="37"/>
  <c r="H116" i="37"/>
  <c r="I116" i="37"/>
  <c r="J116" i="37"/>
  <c r="R116" i="37" s="1"/>
  <c r="K116" i="37"/>
  <c r="S116" i="37" s="1"/>
  <c r="L116" i="37"/>
  <c r="T116" i="37" s="1"/>
  <c r="M116" i="37"/>
  <c r="N116" i="37"/>
  <c r="V116" i="37" s="1"/>
  <c r="H117" i="37"/>
  <c r="P117" i="37" s="1"/>
  <c r="I117" i="37"/>
  <c r="Q117" i="37" s="1"/>
  <c r="J117" i="37"/>
  <c r="R117" i="37" s="1"/>
  <c r="K117" i="37"/>
  <c r="S117" i="37" s="1"/>
  <c r="L117" i="37"/>
  <c r="T117" i="37" s="1"/>
  <c r="M117" i="37"/>
  <c r="U117" i="37" s="1"/>
  <c r="N117" i="37"/>
  <c r="V117" i="37" s="1"/>
  <c r="H118" i="37"/>
  <c r="I118" i="37"/>
  <c r="J118" i="37"/>
  <c r="K118" i="37"/>
  <c r="L118" i="37"/>
  <c r="M118" i="37"/>
  <c r="N118" i="37"/>
  <c r="H119" i="37"/>
  <c r="I119" i="37"/>
  <c r="J119" i="37"/>
  <c r="K119" i="37"/>
  <c r="L119" i="37"/>
  <c r="M119" i="37"/>
  <c r="N119" i="37"/>
  <c r="H120" i="37"/>
  <c r="I120" i="37"/>
  <c r="J120" i="37"/>
  <c r="K120" i="37"/>
  <c r="L120" i="37"/>
  <c r="M120" i="37"/>
  <c r="N120" i="37"/>
  <c r="H121" i="37"/>
  <c r="I121" i="37"/>
  <c r="J121" i="37"/>
  <c r="K121" i="37"/>
  <c r="L121" i="37"/>
  <c r="M121" i="37"/>
  <c r="N121" i="37"/>
  <c r="H122" i="37"/>
  <c r="I122" i="37"/>
  <c r="J122" i="37"/>
  <c r="K122" i="37"/>
  <c r="L122" i="37"/>
  <c r="M122" i="37"/>
  <c r="N122" i="37"/>
  <c r="H123" i="37"/>
  <c r="I123" i="37"/>
  <c r="J123" i="37"/>
  <c r="K123" i="37"/>
  <c r="L123" i="37"/>
  <c r="M123" i="37"/>
  <c r="N123" i="37"/>
  <c r="H124" i="37"/>
  <c r="I124" i="37"/>
  <c r="J124" i="37"/>
  <c r="K124" i="37"/>
  <c r="L124" i="37"/>
  <c r="M124" i="37"/>
  <c r="N124" i="37"/>
  <c r="H125" i="37"/>
  <c r="I125" i="37"/>
  <c r="J125" i="37"/>
  <c r="K125" i="37"/>
  <c r="L125" i="37"/>
  <c r="M125" i="37"/>
  <c r="N125" i="37"/>
  <c r="G117" i="37"/>
  <c r="F117" i="37"/>
  <c r="G107" i="37"/>
  <c r="F107" i="37"/>
  <c r="F91" i="37"/>
  <c r="L603" i="36"/>
  <c r="L602" i="36"/>
  <c r="L601" i="36"/>
  <c r="L600" i="36"/>
  <c r="L599" i="36"/>
  <c r="L598" i="36"/>
  <c r="L597" i="36"/>
  <c r="L596" i="36"/>
  <c r="L595" i="36"/>
  <c r="L594" i="36"/>
  <c r="L593" i="36"/>
  <c r="L592" i="36"/>
  <c r="L591" i="36"/>
  <c r="L590" i="36"/>
  <c r="L589" i="36"/>
  <c r="L588" i="36"/>
  <c r="L587" i="36"/>
  <c r="L586" i="36"/>
  <c r="L585" i="36"/>
  <c r="L584" i="36"/>
  <c r="L583" i="36"/>
  <c r="L582" i="36"/>
  <c r="L581" i="36"/>
  <c r="L580" i="36"/>
  <c r="L579" i="36"/>
  <c r="L578" i="36"/>
  <c r="L577" i="36"/>
  <c r="L576" i="36"/>
  <c r="L575" i="36"/>
  <c r="L574" i="36"/>
  <c r="L573" i="36"/>
  <c r="L572" i="36"/>
  <c r="L571" i="36"/>
  <c r="L570" i="36"/>
  <c r="L569" i="36"/>
  <c r="L568" i="36"/>
  <c r="L567" i="36"/>
  <c r="L566" i="36"/>
  <c r="L565" i="36"/>
  <c r="L564" i="36"/>
  <c r="L563" i="36"/>
  <c r="L562" i="36"/>
  <c r="L561" i="36"/>
  <c r="L560" i="36"/>
  <c r="L559" i="36"/>
  <c r="L558" i="36"/>
  <c r="L557" i="36"/>
  <c r="L556" i="36"/>
  <c r="L555" i="36"/>
  <c r="L554" i="36"/>
  <c r="L553" i="36"/>
  <c r="L552" i="36"/>
  <c r="L551" i="36"/>
  <c r="L550" i="36"/>
  <c r="L549" i="36"/>
  <c r="L548" i="36"/>
  <c r="L547" i="36"/>
  <c r="L546" i="36"/>
  <c r="L545" i="36"/>
  <c r="L544" i="36"/>
  <c r="L543" i="36"/>
  <c r="L542" i="36"/>
  <c r="L541" i="36"/>
  <c r="L540" i="36"/>
  <c r="L539" i="36"/>
  <c r="L538" i="36"/>
  <c r="L537" i="36"/>
  <c r="L536" i="36"/>
  <c r="L535" i="36"/>
  <c r="L534" i="36"/>
  <c r="L533" i="36"/>
  <c r="L532" i="36"/>
  <c r="L531" i="36"/>
  <c r="L530" i="36"/>
  <c r="L529" i="36"/>
  <c r="L528" i="36"/>
  <c r="L527" i="36"/>
  <c r="L526" i="36"/>
  <c r="L525" i="36"/>
  <c r="L524" i="36"/>
  <c r="L523" i="36"/>
  <c r="L522" i="36"/>
  <c r="L521" i="36"/>
  <c r="L520" i="36"/>
  <c r="L519" i="36"/>
  <c r="L518" i="36"/>
  <c r="L517" i="36"/>
  <c r="L516" i="36"/>
  <c r="L515" i="36"/>
  <c r="L514" i="36"/>
  <c r="L513" i="36"/>
  <c r="L512" i="36"/>
  <c r="L511" i="36"/>
  <c r="L510" i="36"/>
  <c r="L509" i="36"/>
  <c r="L508" i="36"/>
  <c r="L507" i="36"/>
  <c r="L506" i="36"/>
  <c r="L505" i="36"/>
  <c r="L504" i="36"/>
  <c r="L503" i="36"/>
  <c r="L502" i="36"/>
  <c r="L501" i="36"/>
  <c r="L500" i="36"/>
  <c r="L499" i="36"/>
  <c r="L498" i="36"/>
  <c r="L497" i="36"/>
  <c r="L496" i="36"/>
  <c r="L495" i="36"/>
  <c r="L494" i="36"/>
  <c r="L493" i="36"/>
  <c r="L492" i="36"/>
  <c r="L491" i="36"/>
  <c r="L490" i="36"/>
  <c r="L489" i="36"/>
  <c r="L488" i="36"/>
  <c r="L487" i="36"/>
  <c r="L486" i="36"/>
  <c r="L485" i="36"/>
  <c r="L484" i="36"/>
  <c r="L483" i="36"/>
  <c r="L482" i="36"/>
  <c r="L481" i="36"/>
  <c r="L480" i="36"/>
  <c r="L479" i="36"/>
  <c r="L478" i="36"/>
  <c r="L477" i="36"/>
  <c r="L476" i="36"/>
  <c r="L475" i="36"/>
  <c r="L474" i="36"/>
  <c r="L473" i="36"/>
  <c r="J107" i="37" s="1"/>
  <c r="R107" i="37" s="1"/>
  <c r="L472" i="36"/>
  <c r="I107" i="37" s="1"/>
  <c r="Q107" i="37" s="1"/>
  <c r="L471" i="36"/>
  <c r="H107" i="37" s="1"/>
  <c r="P107" i="37" s="1"/>
  <c r="L470" i="36"/>
  <c r="N106" i="37" s="1"/>
  <c r="L469" i="36"/>
  <c r="M106" i="37" s="1"/>
  <c r="L468" i="36"/>
  <c r="L106" i="37" s="1"/>
  <c r="L467" i="36"/>
  <c r="K106" i="37" s="1"/>
  <c r="L466" i="36"/>
  <c r="J106" i="37" s="1"/>
  <c r="L465" i="36"/>
  <c r="I106" i="37" s="1"/>
  <c r="L464" i="36"/>
  <c r="H106" i="37" s="1"/>
  <c r="L463" i="36"/>
  <c r="L462" i="36"/>
  <c r="L461" i="36"/>
  <c r="L460" i="36"/>
  <c r="L459" i="36"/>
  <c r="L458" i="36"/>
  <c r="L457" i="36"/>
  <c r="L456" i="36"/>
  <c r="L455" i="36"/>
  <c r="L454" i="36"/>
  <c r="L453" i="36"/>
  <c r="L452" i="36"/>
  <c r="L451" i="36"/>
  <c r="L450" i="36"/>
  <c r="L449" i="36"/>
  <c r="L448" i="36"/>
  <c r="L447" i="36"/>
  <c r="L446" i="36"/>
  <c r="L445" i="36"/>
  <c r="L444" i="36"/>
  <c r="L443" i="36"/>
  <c r="L442" i="36"/>
  <c r="L441" i="36"/>
  <c r="L440" i="36"/>
  <c r="L439" i="36"/>
  <c r="L438" i="36"/>
  <c r="L437" i="36"/>
  <c r="L436" i="36"/>
  <c r="L435" i="36"/>
  <c r="N101" i="37" s="1"/>
  <c r="L434" i="36"/>
  <c r="M101" i="37" s="1"/>
  <c r="L433" i="36"/>
  <c r="L101" i="37" s="1"/>
  <c r="L432" i="36"/>
  <c r="K101" i="37" s="1"/>
  <c r="L431" i="36"/>
  <c r="J101" i="37" s="1"/>
  <c r="L430" i="36"/>
  <c r="I101" i="37" s="1"/>
  <c r="L429" i="36"/>
  <c r="H101" i="37" s="1"/>
  <c r="L428" i="36"/>
  <c r="N100" i="37" s="1"/>
  <c r="V100" i="37" s="1"/>
  <c r="L427" i="36"/>
  <c r="M100" i="37" s="1"/>
  <c r="U100" i="37" s="1"/>
  <c r="L426" i="36"/>
  <c r="L425" i="36"/>
  <c r="L424" i="36"/>
  <c r="L423" i="36"/>
  <c r="I100" i="37" s="1"/>
  <c r="Q100" i="37" s="1"/>
  <c r="L422" i="36"/>
  <c r="H100" i="37" s="1"/>
  <c r="P100" i="37" s="1"/>
  <c r="L421" i="36"/>
  <c r="N99" i="37" s="1"/>
  <c r="L420" i="36"/>
  <c r="M99" i="37" s="1"/>
  <c r="L419" i="36"/>
  <c r="L99" i="37" s="1"/>
  <c r="L418" i="36"/>
  <c r="K99" i="37" s="1"/>
  <c r="L417" i="36"/>
  <c r="J99" i="37" s="1"/>
  <c r="L416" i="36"/>
  <c r="I99" i="37" s="1"/>
  <c r="L415" i="36"/>
  <c r="H99" i="37" s="1"/>
  <c r="L414" i="36"/>
  <c r="L413" i="36"/>
  <c r="L412" i="36"/>
  <c r="L411" i="36"/>
  <c r="L410" i="36"/>
  <c r="L409" i="36"/>
  <c r="L408" i="36"/>
  <c r="L407" i="36"/>
  <c r="L406" i="36"/>
  <c r="L405" i="36"/>
  <c r="L404" i="36"/>
  <c r="L403" i="36"/>
  <c r="L402" i="36"/>
  <c r="L401" i="36"/>
  <c r="L400" i="36"/>
  <c r="L399" i="36"/>
  <c r="L398" i="36"/>
  <c r="L397" i="36"/>
  <c r="L396" i="36"/>
  <c r="L395" i="36"/>
  <c r="L394" i="36"/>
  <c r="L393" i="36"/>
  <c r="L392" i="36"/>
  <c r="L391" i="36"/>
  <c r="L390" i="36"/>
  <c r="L389" i="36"/>
  <c r="L388" i="36"/>
  <c r="L387" i="36"/>
  <c r="L386" i="36"/>
  <c r="L385" i="36"/>
  <c r="L384" i="36"/>
  <c r="L383" i="36"/>
  <c r="L382" i="36"/>
  <c r="L381" i="36"/>
  <c r="I94" i="37" s="1"/>
  <c r="L380" i="36"/>
  <c r="H94" i="37" s="1"/>
  <c r="L379" i="36"/>
  <c r="N93" i="37" s="1"/>
  <c r="L378" i="36"/>
  <c r="M93" i="37" s="1"/>
  <c r="L377" i="36"/>
  <c r="L93" i="37" s="1"/>
  <c r="L376" i="36"/>
  <c r="K93" i="37" s="1"/>
  <c r="L375" i="36"/>
  <c r="J93" i="37" s="1"/>
  <c r="L374" i="36"/>
  <c r="I93" i="37" s="1"/>
  <c r="L373" i="36"/>
  <c r="H93" i="37" s="1"/>
  <c r="L372" i="36"/>
  <c r="N92" i="37" s="1"/>
  <c r="L371" i="36"/>
  <c r="M92" i="37" s="1"/>
  <c r="L370" i="36"/>
  <c r="L92" i="37" s="1"/>
  <c r="L369" i="36"/>
  <c r="L368" i="36"/>
  <c r="L367" i="36"/>
  <c r="L366" i="36"/>
  <c r="L365" i="36"/>
  <c r="L364" i="36"/>
  <c r="L363" i="36"/>
  <c r="L362" i="36"/>
  <c r="L361" i="36"/>
  <c r="L360" i="36"/>
  <c r="I91" i="37" s="1"/>
  <c r="Q91" i="37" s="1"/>
  <c r="L359" i="36"/>
  <c r="H91" i="37" s="1"/>
  <c r="P91" i="37" s="1"/>
  <c r="L358" i="36"/>
  <c r="N90" i="37" s="1"/>
  <c r="L357" i="36"/>
  <c r="M90" i="37" s="1"/>
  <c r="L356" i="36"/>
  <c r="L90" i="37" s="1"/>
  <c r="L355" i="36"/>
  <c r="K90" i="37" s="1"/>
  <c r="L354" i="36"/>
  <c r="J90" i="37" s="1"/>
  <c r="L353" i="36"/>
  <c r="I90" i="37" s="1"/>
  <c r="L352" i="36"/>
  <c r="H90" i="37" s="1"/>
  <c r="L351" i="36"/>
  <c r="L350" i="36"/>
  <c r="L349" i="36"/>
  <c r="L348" i="36"/>
  <c r="L347" i="36"/>
  <c r="L346" i="36"/>
  <c r="L345" i="36"/>
  <c r="L344" i="36"/>
  <c r="L343" i="36"/>
  <c r="L342" i="36"/>
  <c r="L341" i="36"/>
  <c r="L340" i="36"/>
  <c r="L339" i="36"/>
  <c r="L338" i="36"/>
  <c r="L337" i="36"/>
  <c r="L336" i="36"/>
  <c r="L335" i="36"/>
  <c r="L334" i="36"/>
  <c r="L333" i="36"/>
  <c r="L332" i="36"/>
  <c r="L331" i="36"/>
  <c r="L330" i="36"/>
  <c r="L329" i="36"/>
  <c r="L328" i="36"/>
  <c r="L327" i="36"/>
  <c r="L326" i="36"/>
  <c r="L325" i="36"/>
  <c r="L324" i="36"/>
  <c r="L323" i="36"/>
  <c r="L322" i="36"/>
  <c r="L321" i="36"/>
  <c r="L320" i="36"/>
  <c r="L319" i="36"/>
  <c r="L318" i="36"/>
  <c r="L317" i="36"/>
  <c r="L316" i="36"/>
  <c r="L315" i="36"/>
  <c r="L314" i="36"/>
  <c r="L313" i="36"/>
  <c r="L312" i="36"/>
  <c r="L311" i="36"/>
  <c r="L310" i="36"/>
  <c r="L309" i="36"/>
  <c r="L308" i="36"/>
  <c r="L307" i="36"/>
  <c r="L306" i="36"/>
  <c r="L305" i="36"/>
  <c r="L304" i="36"/>
  <c r="L303" i="36"/>
  <c r="L302" i="36"/>
  <c r="L301" i="36"/>
  <c r="L300" i="36"/>
  <c r="L299" i="36"/>
  <c r="L298" i="36"/>
  <c r="L297" i="36"/>
  <c r="L296" i="36"/>
  <c r="L295" i="36"/>
  <c r="L294" i="36"/>
  <c r="L293" i="36"/>
  <c r="L292" i="36"/>
  <c r="L291" i="36"/>
  <c r="L290" i="36"/>
  <c r="L289" i="36"/>
  <c r="L288" i="36"/>
  <c r="L287" i="36"/>
  <c r="L286" i="36"/>
  <c r="L285" i="36"/>
  <c r="L284" i="36"/>
  <c r="L283" i="36"/>
  <c r="L282" i="36"/>
  <c r="L281" i="36"/>
  <c r="L280" i="36"/>
  <c r="L279" i="36"/>
  <c r="L278" i="36"/>
  <c r="L277" i="36"/>
  <c r="L276" i="36"/>
  <c r="L275" i="36"/>
  <c r="L274" i="36"/>
  <c r="L273" i="36"/>
  <c r="L272" i="36"/>
  <c r="L271" i="36"/>
  <c r="L270" i="36"/>
  <c r="L269" i="36"/>
  <c r="L268" i="36"/>
  <c r="L267" i="36"/>
  <c r="L266" i="36"/>
  <c r="L265" i="36"/>
  <c r="L264" i="36"/>
  <c r="L263" i="36"/>
  <c r="L262" i="36"/>
  <c r="L261" i="36"/>
  <c r="L260" i="36"/>
  <c r="L259" i="36"/>
  <c r="L258" i="36"/>
  <c r="L257" i="36"/>
  <c r="L256" i="36"/>
  <c r="L255" i="36"/>
  <c r="L254" i="36"/>
  <c r="L253" i="36"/>
  <c r="L252" i="36"/>
  <c r="L251" i="36"/>
  <c r="L250" i="36"/>
  <c r="L249" i="36"/>
  <c r="L248" i="36"/>
  <c r="L247" i="36"/>
  <c r="L246" i="36"/>
  <c r="L245" i="36"/>
  <c r="L244" i="36"/>
  <c r="L243" i="36"/>
  <c r="L242" i="36"/>
  <c r="L241" i="36"/>
  <c r="L240" i="36"/>
  <c r="L239" i="36"/>
  <c r="L238" i="36"/>
  <c r="L237" i="36"/>
  <c r="L236" i="36"/>
  <c r="L235" i="36"/>
  <c r="L234" i="36"/>
  <c r="L233" i="36"/>
  <c r="L232" i="36"/>
  <c r="L231" i="36"/>
  <c r="L230" i="36"/>
  <c r="L229" i="36"/>
  <c r="L228" i="36"/>
  <c r="L227" i="36"/>
  <c r="L226" i="36"/>
  <c r="L225" i="36"/>
  <c r="L224" i="36"/>
  <c r="L223" i="36"/>
  <c r="L222" i="36"/>
  <c r="L221" i="36"/>
  <c r="L220" i="36"/>
  <c r="L219" i="36"/>
  <c r="L218" i="36"/>
  <c r="L217" i="36"/>
  <c r="L216" i="36"/>
  <c r="L215" i="36"/>
  <c r="L214" i="36"/>
  <c r="L213" i="36"/>
  <c r="L212" i="36"/>
  <c r="L211" i="36"/>
  <c r="L210" i="36"/>
  <c r="L209" i="36"/>
  <c r="L208" i="36"/>
  <c r="L207" i="36"/>
  <c r="L206" i="36"/>
  <c r="L205" i="36"/>
  <c r="L204" i="36"/>
  <c r="L203" i="36"/>
  <c r="L202" i="36"/>
  <c r="L201" i="36"/>
  <c r="L200" i="36"/>
  <c r="L199" i="36"/>
  <c r="L198" i="36"/>
  <c r="L197" i="36"/>
  <c r="L196" i="36"/>
  <c r="L195" i="36"/>
  <c r="L194" i="36"/>
  <c r="L193" i="36"/>
  <c r="L192" i="36"/>
  <c r="L191" i="36"/>
  <c r="L190" i="36"/>
  <c r="L189" i="36"/>
  <c r="L188" i="36"/>
  <c r="L187" i="36"/>
  <c r="L186" i="36"/>
  <c r="L185" i="36"/>
  <c r="L184" i="36"/>
  <c r="L183" i="36"/>
  <c r="L182" i="36"/>
  <c r="L181" i="36"/>
  <c r="L180" i="36"/>
  <c r="L179" i="36"/>
  <c r="L178" i="36"/>
  <c r="L177" i="36"/>
  <c r="L176" i="36"/>
  <c r="L175" i="36"/>
  <c r="L174" i="36"/>
  <c r="L173" i="36"/>
  <c r="L172" i="36"/>
  <c r="L171" i="36"/>
  <c r="L170" i="36"/>
  <c r="L169" i="36"/>
  <c r="L168" i="36"/>
  <c r="L167" i="36"/>
  <c r="L166" i="36"/>
  <c r="L165" i="36"/>
  <c r="L164" i="36"/>
  <c r="L163" i="36"/>
  <c r="L162" i="36"/>
  <c r="L161" i="36"/>
  <c r="L160" i="36"/>
  <c r="L159" i="36"/>
  <c r="L158" i="36"/>
  <c r="L157" i="36"/>
  <c r="L156" i="36"/>
  <c r="L155" i="36"/>
  <c r="L154" i="36"/>
  <c r="L153" i="36"/>
  <c r="L152" i="36"/>
  <c r="L151" i="36"/>
  <c r="L150" i="36"/>
  <c r="L149" i="36"/>
  <c r="L148" i="36"/>
  <c r="L147" i="36"/>
  <c r="L146" i="36"/>
  <c r="L145" i="36"/>
  <c r="L144" i="36"/>
  <c r="L143" i="36"/>
  <c r="L142" i="36"/>
  <c r="L141" i="36"/>
  <c r="L140" i="36"/>
  <c r="L139" i="36"/>
  <c r="L138" i="36"/>
  <c r="L137" i="36"/>
  <c r="L136" i="36"/>
  <c r="L135" i="36"/>
  <c r="L134" i="36"/>
  <c r="L133" i="36"/>
  <c r="L132" i="36"/>
  <c r="L131" i="36"/>
  <c r="L130" i="36"/>
  <c r="L129" i="36"/>
  <c r="L128" i="36"/>
  <c r="H58" i="37" s="1"/>
  <c r="L127" i="36"/>
  <c r="N57" i="37" s="1"/>
  <c r="V57" i="37" s="1"/>
  <c r="L126" i="36"/>
  <c r="M57" i="37" s="1"/>
  <c r="U57" i="37" s="1"/>
  <c r="L125" i="36"/>
  <c r="L57" i="37" s="1"/>
  <c r="T57" i="37" s="1"/>
  <c r="L124" i="36"/>
  <c r="K57" i="37" s="1"/>
  <c r="L123" i="36"/>
  <c r="J57" i="37" s="1"/>
  <c r="R57" i="37" s="1"/>
  <c r="L122" i="36"/>
  <c r="I57" i="37" s="1"/>
  <c r="Q57" i="37" s="1"/>
  <c r="L121" i="36"/>
  <c r="H57" i="37" s="1"/>
  <c r="P57" i="37" s="1"/>
  <c r="L120" i="36"/>
  <c r="N56" i="37" s="1"/>
  <c r="L119" i="36"/>
  <c r="M56" i="37" s="1"/>
  <c r="L118" i="36"/>
  <c r="L56" i="37" s="1"/>
  <c r="L117" i="36"/>
  <c r="K56" i="37" s="1"/>
  <c r="L116" i="36"/>
  <c r="J56" i="37" s="1"/>
  <c r="L115" i="36"/>
  <c r="I56" i="37" s="1"/>
  <c r="L114" i="36"/>
  <c r="H56" i="37" s="1"/>
  <c r="L113" i="36"/>
  <c r="L112" i="36"/>
  <c r="L111" i="36"/>
  <c r="L110" i="36"/>
  <c r="L109" i="36"/>
  <c r="L108" i="36"/>
  <c r="L107" i="36"/>
  <c r="L106" i="36"/>
  <c r="L105" i="36"/>
  <c r="L104" i="36"/>
  <c r="L103" i="36"/>
  <c r="L102" i="36"/>
  <c r="L101" i="36"/>
  <c r="L100" i="36"/>
  <c r="L99" i="36"/>
  <c r="L98" i="36"/>
  <c r="L97" i="36"/>
  <c r="L96" i="36"/>
  <c r="L95" i="36"/>
  <c r="L94" i="36"/>
  <c r="L93" i="36"/>
  <c r="L92" i="36"/>
  <c r="L91" i="36"/>
  <c r="L90" i="36"/>
  <c r="L89" i="36"/>
  <c r="L88" i="36"/>
  <c r="L87" i="36"/>
  <c r="L86" i="36"/>
  <c r="L85" i="36"/>
  <c r="L84" i="36"/>
  <c r="L83" i="36"/>
  <c r="L82" i="36"/>
  <c r="L81" i="36"/>
  <c r="L80" i="36"/>
  <c r="L79" i="36"/>
  <c r="L78" i="36"/>
  <c r="L77" i="36"/>
  <c r="L76" i="36"/>
  <c r="L75" i="36"/>
  <c r="L74" i="36"/>
  <c r="L73" i="36"/>
  <c r="L72" i="36"/>
  <c r="L71" i="36"/>
  <c r="L70" i="36"/>
  <c r="L69" i="36"/>
  <c r="L68" i="36"/>
  <c r="L67" i="36"/>
  <c r="L66" i="36"/>
  <c r="L65" i="36"/>
  <c r="L64" i="36"/>
  <c r="L63" i="36"/>
  <c r="L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F57" i="37"/>
  <c r="O57" i="37"/>
  <c r="Q541" i="36"/>
  <c r="H541" i="36"/>
  <c r="Q471" i="36"/>
  <c r="H471" i="36"/>
  <c r="Q359" i="36"/>
  <c r="H352" i="36"/>
  <c r="H184" i="36"/>
  <c r="H464" i="36"/>
  <c r="H415" i="36"/>
  <c r="Q464" i="36"/>
  <c r="H534" i="36"/>
  <c r="Q534" i="36"/>
  <c r="H100" i="36"/>
  <c r="Q352" i="36"/>
  <c r="Q422" i="36"/>
  <c r="H422" i="36"/>
  <c r="Q184" i="36"/>
  <c r="Q415" i="36"/>
  <c r="F116" i="37" l="1"/>
  <c r="U116" i="37" s="1"/>
  <c r="F106" i="37"/>
  <c r="P106" i="37" s="1"/>
  <c r="S57" i="37"/>
  <c r="F100" i="37"/>
  <c r="F99" i="37"/>
  <c r="P99" i="37" s="1"/>
  <c r="F90" i="37"/>
  <c r="U90" i="37" s="1"/>
  <c r="F66" i="37"/>
  <c r="U66" i="37" s="1"/>
  <c r="V106" i="37" l="1"/>
  <c r="T106" i="37"/>
  <c r="V90" i="37"/>
  <c r="R106" i="37"/>
  <c r="S106" i="37"/>
  <c r="S90" i="37"/>
  <c r="T90" i="37"/>
  <c r="R90" i="37"/>
  <c r="V99" i="37"/>
  <c r="T99" i="37"/>
  <c r="R99" i="37"/>
  <c r="S99" i="37"/>
  <c r="U106" i="37"/>
  <c r="U99" i="37"/>
  <c r="Q106" i="37"/>
  <c r="Q99" i="37"/>
  <c r="Q116" i="37"/>
  <c r="P116" i="37"/>
  <c r="Q90" i="37"/>
  <c r="P90" i="37"/>
  <c r="P66" i="37"/>
  <c r="Q121" i="36" l="1"/>
  <c r="P28" i="37"/>
  <c r="P13" i="37"/>
  <c r="P12" i="37"/>
  <c r="P11" i="37"/>
  <c r="P10" i="37"/>
  <c r="P9" i="37"/>
  <c r="P8" i="37"/>
  <c r="P7" i="37"/>
  <c r="P6" i="37"/>
  <c r="F6" i="37"/>
  <c r="H1" i="37"/>
  <c r="R12" i="36" a="1"/>
  <c r="R15" i="36" a="1"/>
  <c r="Q13" i="36"/>
  <c r="R16" i="36" a="1"/>
  <c r="R13" i="36" a="1"/>
  <c r="V15" i="36" a="1"/>
  <c r="V17" i="36" a="1"/>
  <c r="V12" i="36" a="1"/>
  <c r="V13" i="36" a="1"/>
  <c r="U12" i="36"/>
  <c r="R14" i="36" a="1"/>
  <c r="V14" i="36" a="1"/>
  <c r="V16" i="36" a="1"/>
  <c r="H114" i="36"/>
  <c r="R17" i="36" a="1"/>
  <c r="Q114" i="36"/>
  <c r="F56" i="37" l="1"/>
  <c r="R17" i="36"/>
  <c r="V15" i="36"/>
  <c r="R12" i="36"/>
  <c r="R13" i="36"/>
  <c r="V17" i="36"/>
  <c r="R15" i="36"/>
  <c r="V12" i="36"/>
  <c r="V13" i="36"/>
  <c r="R16" i="36"/>
  <c r="R14" i="36"/>
  <c r="V16" i="36"/>
  <c r="V14" i="36"/>
  <c r="F6" i="39"/>
  <c r="C6" i="38"/>
  <c r="F5" i="39"/>
  <c r="C5" i="38"/>
  <c r="F4" i="39"/>
  <c r="C4" i="38"/>
  <c r="F3" i="39"/>
  <c r="C3" i="38"/>
  <c r="O44" i="37"/>
  <c r="O46" i="37"/>
  <c r="O47" i="37"/>
  <c r="O49" i="37"/>
  <c r="O50" i="37"/>
  <c r="O53" i="37"/>
  <c r="O55" i="37"/>
  <c r="S56" i="37" l="1"/>
  <c r="V56" i="37"/>
  <c r="P56" i="37"/>
  <c r="Q56" i="37"/>
  <c r="T56" i="37"/>
  <c r="U56" i="37"/>
  <c r="R56" i="37"/>
  <c r="O43" i="37"/>
  <c r="Q590" i="36" l="1"/>
  <c r="Q212" i="36"/>
  <c r="I43" i="37"/>
  <c r="J43" i="37"/>
  <c r="K43" i="37"/>
  <c r="L43" i="37"/>
  <c r="M43" i="37"/>
  <c r="N43" i="37"/>
  <c r="J1" i="36" l="1"/>
  <c r="B1" i="31" s="1"/>
  <c r="A29" i="37" l="1"/>
  <c r="D79" i="6" l="1"/>
  <c r="Q366" i="36"/>
  <c r="Q338" i="36"/>
  <c r="Q478" i="36"/>
  <c r="Q373" i="36"/>
  <c r="H296" i="36"/>
  <c r="Q324" i="36"/>
  <c r="Q548" i="36"/>
  <c r="Q450" i="36"/>
  <c r="H429" i="36"/>
  <c r="H373" i="36"/>
  <c r="Q583" i="36"/>
  <c r="Q394" i="36"/>
  <c r="H338" i="36"/>
  <c r="Q429" i="36"/>
  <c r="Q555" i="36"/>
  <c r="H450" i="36"/>
  <c r="H485" i="36"/>
  <c r="Q436" i="36"/>
  <c r="H555" i="36"/>
  <c r="H401" i="36"/>
  <c r="H583" i="36"/>
  <c r="H436" i="36"/>
  <c r="Q401" i="36"/>
  <c r="Q380" i="36"/>
  <c r="H520" i="36"/>
  <c r="H366" i="36"/>
  <c r="H478" i="36"/>
  <c r="Q520" i="36"/>
  <c r="H548" i="36"/>
  <c r="Q275" i="36"/>
  <c r="H408" i="36"/>
  <c r="Q387" i="36"/>
  <c r="H506" i="36"/>
  <c r="H317" i="36"/>
  <c r="Q485" i="36"/>
  <c r="Q408" i="36"/>
  <c r="H387" i="36"/>
  <c r="Q296" i="36"/>
  <c r="H324" i="36"/>
  <c r="H380" i="36"/>
  <c r="H275" i="36"/>
  <c r="Q317" i="36"/>
  <c r="Q506" i="36"/>
  <c r="H394" i="36"/>
  <c r="F12" i="37" l="1"/>
  <c r="F8" i="37"/>
  <c r="F7" i="37"/>
  <c r="F70" i="37" l="1"/>
  <c r="F124" i="37"/>
  <c r="Q597" i="36"/>
  <c r="F125" i="37" s="1"/>
  <c r="V70" i="37" l="1"/>
  <c r="J20" i="38" s="1"/>
  <c r="AT16" i="39" s="1"/>
  <c r="T70" i="37"/>
  <c r="H20" i="38" s="1"/>
  <c r="AR16" i="39" s="1"/>
  <c r="S70" i="37"/>
  <c r="G20" i="38" s="1"/>
  <c r="AQ16" i="39" s="1"/>
  <c r="V124" i="37"/>
  <c r="J29" i="38" s="1"/>
  <c r="AT24" i="39" s="1"/>
  <c r="T124" i="37"/>
  <c r="H29" i="38" s="1"/>
  <c r="AR24" i="39" s="1"/>
  <c r="S124" i="37"/>
  <c r="G29" i="38" s="1"/>
  <c r="AQ24" i="39" s="1"/>
  <c r="V125" i="37"/>
  <c r="J30" i="38" s="1"/>
  <c r="AT25" i="39" s="1"/>
  <c r="T125" i="37"/>
  <c r="H30" i="38" s="1"/>
  <c r="AR25" i="39" s="1"/>
  <c r="S125" i="37"/>
  <c r="G30" i="38" s="1"/>
  <c r="AQ25" i="39" s="1"/>
  <c r="D78" i="6" l="1"/>
  <c r="D76" i="6"/>
  <c r="D75" i="6"/>
  <c r="Q576" i="36"/>
  <c r="F122" i="37" s="1"/>
  <c r="Q569" i="36"/>
  <c r="F121" i="37" s="1"/>
  <c r="Q562" i="36"/>
  <c r="F120" i="37" s="1"/>
  <c r="Q527" i="36"/>
  <c r="F115" i="37" s="1"/>
  <c r="Q513" i="36"/>
  <c r="F113" i="37" s="1"/>
  <c r="Q499" i="36"/>
  <c r="F111" i="37" s="1"/>
  <c r="Q492" i="36"/>
  <c r="F110" i="37" s="1"/>
  <c r="Q457" i="36"/>
  <c r="F105" i="37" s="1"/>
  <c r="Q443" i="36"/>
  <c r="F103" i="37" s="1"/>
  <c r="Q345" i="36"/>
  <c r="F89" i="37" s="1"/>
  <c r="Q331" i="36"/>
  <c r="F87" i="37" s="1"/>
  <c r="Q310" i="36"/>
  <c r="F84" i="37" s="1"/>
  <c r="Q303" i="36"/>
  <c r="F83" i="37" s="1"/>
  <c r="Q289" i="36"/>
  <c r="F81" i="37" s="1"/>
  <c r="Q282" i="36"/>
  <c r="F80" i="37" s="1"/>
  <c r="Q268" i="36"/>
  <c r="F78" i="37" s="1"/>
  <c r="Q261" i="36"/>
  <c r="F77" i="37" s="1"/>
  <c r="Q254" i="36"/>
  <c r="F76" i="37" s="1"/>
  <c r="Q247" i="36"/>
  <c r="F75" i="37" s="1"/>
  <c r="Q240" i="36"/>
  <c r="F74" i="37" s="1"/>
  <c r="Q233" i="36"/>
  <c r="F73" i="37" s="1"/>
  <c r="Q226" i="36"/>
  <c r="F72" i="37" s="1"/>
  <c r="Q219" i="36"/>
  <c r="F71" i="37" s="1"/>
  <c r="Q107" i="36"/>
  <c r="F55" i="37" s="1"/>
  <c r="Q93" i="36"/>
  <c r="F53" i="37" s="1"/>
  <c r="Q72" i="36"/>
  <c r="F50" i="37" s="1"/>
  <c r="Q65" i="36"/>
  <c r="F49" i="37" s="1"/>
  <c r="Q51" i="36"/>
  <c r="F47" i="37" s="1"/>
  <c r="Q44" i="36"/>
  <c r="F46" i="37" s="1"/>
  <c r="Q30" i="36"/>
  <c r="F44" i="37" s="1"/>
  <c r="Q23" i="36"/>
  <c r="F43" i="37" s="1"/>
  <c r="H443" i="36"/>
  <c r="G103" i="37" s="1"/>
  <c r="H457" i="36"/>
  <c r="G105" i="37" s="1"/>
  <c r="H513" i="36"/>
  <c r="G113" i="37" s="1"/>
  <c r="H527" i="36"/>
  <c r="G115" i="37" s="1"/>
  <c r="H562" i="36"/>
  <c r="G120" i="37" s="1"/>
  <c r="D36" i="37"/>
  <c r="F28" i="37"/>
  <c r="F27" i="37"/>
  <c r="D27" i="37" s="1"/>
  <c r="P27" i="37" s="1"/>
  <c r="D29" i="37"/>
  <c r="P29" i="37" s="1"/>
  <c r="D26" i="37"/>
  <c r="P26" i="37" s="1"/>
  <c r="D25" i="37"/>
  <c r="P25" i="37" s="1"/>
  <c r="D24" i="37"/>
  <c r="P24" i="37" s="1"/>
  <c r="D23" i="37"/>
  <c r="P23" i="37" s="1"/>
  <c r="D22" i="37"/>
  <c r="P22" i="37" s="1"/>
  <c r="D21" i="37"/>
  <c r="P21" i="37" s="1"/>
  <c r="D20" i="37"/>
  <c r="P20" i="37" s="1"/>
  <c r="Q205" i="36"/>
  <c r="Q156" i="36"/>
  <c r="H198" i="36"/>
  <c r="H149" i="36"/>
  <c r="Q100" i="36"/>
  <c r="H79" i="36"/>
  <c r="H177" i="36"/>
  <c r="Q135" i="36"/>
  <c r="H37" i="36"/>
  <c r="H156" i="36"/>
  <c r="Q191" i="36"/>
  <c r="Q79" i="36"/>
  <c r="Q177" i="36"/>
  <c r="H163" i="36"/>
  <c r="Q149" i="36"/>
  <c r="Q163" i="36"/>
  <c r="H128" i="36"/>
  <c r="Q198" i="36"/>
  <c r="Q37" i="36"/>
  <c r="H170" i="36"/>
  <c r="Q128" i="36"/>
  <c r="Q58" i="36"/>
  <c r="H191" i="36"/>
  <c r="H135" i="36"/>
  <c r="Q170" i="36"/>
  <c r="Q86" i="36"/>
  <c r="H58" i="36"/>
  <c r="H205" i="36"/>
  <c r="H142" i="36"/>
  <c r="H86" i="36"/>
  <c r="Q142" i="36"/>
  <c r="V122" i="37" l="1"/>
  <c r="T122" i="37"/>
  <c r="S122" i="37"/>
  <c r="S84" i="37"/>
  <c r="T84" i="37"/>
  <c r="V84" i="37"/>
  <c r="S76" i="37"/>
  <c r="V76" i="37"/>
  <c r="T76" i="37"/>
  <c r="V43" i="37"/>
  <c r="T43" i="37"/>
  <c r="S43" i="37"/>
  <c r="V71" i="37"/>
  <c r="T71" i="37"/>
  <c r="S71" i="37"/>
  <c r="V80" i="37"/>
  <c r="T80" i="37"/>
  <c r="S80" i="37"/>
  <c r="V110" i="37"/>
  <c r="T110" i="37"/>
  <c r="S110" i="37"/>
  <c r="S49" i="37"/>
  <c r="T49" i="37"/>
  <c r="V49" i="37"/>
  <c r="S120" i="37"/>
  <c r="V120" i="37"/>
  <c r="T120" i="37"/>
  <c r="V53" i="37"/>
  <c r="T53" i="37"/>
  <c r="S53" i="37"/>
  <c r="V103" i="37"/>
  <c r="T103" i="37"/>
  <c r="S103" i="37"/>
  <c r="V55" i="37"/>
  <c r="T55" i="37"/>
  <c r="S55" i="37"/>
  <c r="V105" i="37"/>
  <c r="T105" i="37"/>
  <c r="S105" i="37"/>
  <c r="V44" i="37"/>
  <c r="T44" i="37"/>
  <c r="S44" i="37"/>
  <c r="T72" i="37"/>
  <c r="S72" i="37"/>
  <c r="V72" i="37"/>
  <c r="T81" i="37"/>
  <c r="S81" i="37"/>
  <c r="V81" i="37"/>
  <c r="V111" i="37"/>
  <c r="T111" i="37"/>
  <c r="S111" i="37"/>
  <c r="T47" i="37"/>
  <c r="S47" i="37"/>
  <c r="V47" i="37"/>
  <c r="S74" i="37"/>
  <c r="V74" i="37"/>
  <c r="T74" i="37"/>
  <c r="S115" i="37"/>
  <c r="T115" i="37"/>
  <c r="V115" i="37"/>
  <c r="S75" i="37"/>
  <c r="V75" i="37"/>
  <c r="T75" i="37"/>
  <c r="S87" i="37"/>
  <c r="V87" i="37"/>
  <c r="T87" i="37"/>
  <c r="S50" i="37"/>
  <c r="V50" i="37"/>
  <c r="T50" i="37"/>
  <c r="V89" i="37"/>
  <c r="S89" i="37"/>
  <c r="T89" i="37"/>
  <c r="S121" i="37"/>
  <c r="V121" i="37"/>
  <c r="T121" i="37"/>
  <c r="V77" i="37"/>
  <c r="T77" i="37"/>
  <c r="S77" i="37"/>
  <c r="V78" i="37"/>
  <c r="T78" i="37"/>
  <c r="S78" i="37"/>
  <c r="T46" i="37"/>
  <c r="S46" i="37"/>
  <c r="V46" i="37"/>
  <c r="T73" i="37"/>
  <c r="S73" i="37"/>
  <c r="V73" i="37"/>
  <c r="T83" i="37"/>
  <c r="S83" i="37"/>
  <c r="V83" i="37"/>
  <c r="T113" i="37"/>
  <c r="S113" i="37"/>
  <c r="V113" i="37"/>
  <c r="F45" i="37"/>
  <c r="V45" i="37" s="1"/>
  <c r="F79" i="37"/>
  <c r="V79" i="37" s="1"/>
  <c r="F109" i="37"/>
  <c r="V109" i="37" s="1"/>
  <c r="F48" i="37"/>
  <c r="V48" i="37" s="1"/>
  <c r="F58" i="37"/>
  <c r="V58" i="37" s="1"/>
  <c r="F62" i="37"/>
  <c r="V62" i="37" s="1"/>
  <c r="F67" i="37"/>
  <c r="V67" i="37" s="1"/>
  <c r="J18" i="38" s="1"/>
  <c r="AT14" i="39" s="1"/>
  <c r="F82" i="37"/>
  <c r="V82" i="37" s="1"/>
  <c r="F92" i="37"/>
  <c r="V92" i="37" s="1"/>
  <c r="F96" i="37"/>
  <c r="V96" i="37" s="1"/>
  <c r="F102" i="37"/>
  <c r="V102" i="37" s="1"/>
  <c r="F112" i="37"/>
  <c r="V112" i="37" s="1"/>
  <c r="F123" i="37"/>
  <c r="F61" i="37"/>
  <c r="V61" i="37" s="1"/>
  <c r="F65" i="37"/>
  <c r="F88" i="37"/>
  <c r="V88" i="37" s="1"/>
  <c r="F101" i="37"/>
  <c r="V101" i="37" s="1"/>
  <c r="F119" i="37"/>
  <c r="V119" i="37" s="1"/>
  <c r="F51" i="37"/>
  <c r="V51" i="37" s="1"/>
  <c r="F59" i="37"/>
  <c r="V59" i="37" s="1"/>
  <c r="F63" i="37"/>
  <c r="F68" i="37"/>
  <c r="V68" i="37" s="1"/>
  <c r="F85" i="37"/>
  <c r="V85" i="37" s="1"/>
  <c r="F93" i="37"/>
  <c r="V93" i="37" s="1"/>
  <c r="F97" i="37"/>
  <c r="V97" i="37" s="1"/>
  <c r="F104" i="37"/>
  <c r="V104" i="37" s="1"/>
  <c r="F114" i="37"/>
  <c r="V114" i="37" s="1"/>
  <c r="F54" i="37"/>
  <c r="V54" i="37" s="1"/>
  <c r="F95" i="37"/>
  <c r="V95" i="37" s="1"/>
  <c r="F52" i="37"/>
  <c r="V52" i="37" s="1"/>
  <c r="F60" i="37"/>
  <c r="V60" i="37" s="1"/>
  <c r="F64" i="37"/>
  <c r="F69" i="37"/>
  <c r="V69" i="37" s="1"/>
  <c r="F86" i="37"/>
  <c r="V86" i="37" s="1"/>
  <c r="F94" i="37"/>
  <c r="V94" i="37" s="1"/>
  <c r="F98" i="37"/>
  <c r="V98" i="37" s="1"/>
  <c r="F108" i="37"/>
  <c r="V108" i="37" s="1"/>
  <c r="F118" i="37"/>
  <c r="V118" i="37" s="1"/>
  <c r="J26" i="38" l="1"/>
  <c r="AT21" i="39" s="1"/>
  <c r="J23" i="38"/>
  <c r="AT18" i="39" s="1"/>
  <c r="J24" i="38"/>
  <c r="AT19" i="39" s="1"/>
  <c r="J25" i="38"/>
  <c r="AT20" i="39" s="1"/>
  <c r="J27" i="38"/>
  <c r="AT22" i="39" s="1"/>
  <c r="H21" i="38"/>
  <c r="AR17" i="39" s="1"/>
  <c r="J21" i="38"/>
  <c r="AT17" i="39" s="1"/>
  <c r="J16" i="38"/>
  <c r="AT12" i="39" s="1"/>
  <c r="J19" i="38"/>
  <c r="AT15" i="39" s="1"/>
  <c r="J15" i="38"/>
  <c r="AT11" i="39" s="1"/>
  <c r="G21" i="38"/>
  <c r="AQ17" i="39" s="1"/>
  <c r="V123" i="37"/>
  <c r="J28" i="38" s="1"/>
  <c r="AT23" i="39" s="1"/>
  <c r="V64" i="37"/>
  <c r="T63" i="37"/>
  <c r="V63" i="37"/>
  <c r="V65" i="37"/>
  <c r="T88" i="37"/>
  <c r="T98" i="37"/>
  <c r="T54" i="37"/>
  <c r="T112" i="37"/>
  <c r="T69" i="37"/>
  <c r="T97" i="37"/>
  <c r="T101" i="37"/>
  <c r="T92" i="37"/>
  <c r="T45" i="37"/>
  <c r="T93" i="37"/>
  <c r="T60" i="37"/>
  <c r="T85" i="37"/>
  <c r="T67" i="37"/>
  <c r="H18" i="38" s="1"/>
  <c r="AR14" i="39" s="1"/>
  <c r="T52" i="37"/>
  <c r="T68" i="37"/>
  <c r="T61" i="37"/>
  <c r="T62" i="37"/>
  <c r="T118" i="37"/>
  <c r="T108" i="37"/>
  <c r="T95" i="37"/>
  <c r="T123" i="37"/>
  <c r="H28" i="38" s="1"/>
  <c r="AR23" i="39" s="1"/>
  <c r="T58" i="37"/>
  <c r="T82" i="37"/>
  <c r="T59" i="37"/>
  <c r="T48" i="37"/>
  <c r="T94" i="37"/>
  <c r="T114" i="37"/>
  <c r="T51" i="37"/>
  <c r="T102" i="37"/>
  <c r="T109" i="37"/>
  <c r="T86" i="37"/>
  <c r="T104" i="37"/>
  <c r="T119" i="37"/>
  <c r="T96" i="37"/>
  <c r="T79" i="37"/>
  <c r="S64" i="37"/>
  <c r="T64" i="37"/>
  <c r="S65" i="37"/>
  <c r="T65" i="37"/>
  <c r="S114" i="37"/>
  <c r="S108" i="37"/>
  <c r="S95" i="37"/>
  <c r="S63" i="37"/>
  <c r="S123" i="37"/>
  <c r="G28" i="38" s="1"/>
  <c r="AQ23" i="39" s="1"/>
  <c r="S58" i="37"/>
  <c r="S98" i="37"/>
  <c r="S54" i="37"/>
  <c r="S59" i="37"/>
  <c r="S112" i="37"/>
  <c r="S48" i="37"/>
  <c r="S94" i="37"/>
  <c r="S102" i="37"/>
  <c r="S97" i="37"/>
  <c r="S45" i="37"/>
  <c r="S88" i="37"/>
  <c r="S51" i="37"/>
  <c r="S104" i="37"/>
  <c r="S96" i="37"/>
  <c r="S79" i="37"/>
  <c r="S101" i="37"/>
  <c r="S60" i="37"/>
  <c r="S85" i="37"/>
  <c r="S67" i="37"/>
  <c r="G18" i="38" s="1"/>
  <c r="AQ14" i="39" s="1"/>
  <c r="S109" i="37"/>
  <c r="S86" i="37"/>
  <c r="S119" i="37"/>
  <c r="S69" i="37"/>
  <c r="S92" i="37"/>
  <c r="S93" i="37"/>
  <c r="S82" i="37"/>
  <c r="S118" i="37"/>
  <c r="S52" i="37"/>
  <c r="S68" i="37"/>
  <c r="S61" i="37"/>
  <c r="S62" i="37"/>
  <c r="U43" i="37"/>
  <c r="U44" i="37"/>
  <c r="Q45" i="37"/>
  <c r="U46" i="37"/>
  <c r="Q47" i="37"/>
  <c r="H43" i="37"/>
  <c r="H27" i="38" l="1"/>
  <c r="AR22" i="39" s="1"/>
  <c r="H23" i="38"/>
  <c r="AR18" i="39" s="1"/>
  <c r="H24" i="38"/>
  <c r="AR19" i="39" s="1"/>
  <c r="J22" i="38"/>
  <c r="H26" i="38"/>
  <c r="AR21" i="39" s="1"/>
  <c r="G26" i="38"/>
  <c r="AQ21" i="39" s="1"/>
  <c r="H25" i="38"/>
  <c r="AR20" i="39" s="1"/>
  <c r="G23" i="38"/>
  <c r="AQ18" i="39" s="1"/>
  <c r="G27" i="38"/>
  <c r="AQ22" i="39" s="1"/>
  <c r="G25" i="38"/>
  <c r="AQ20" i="39" s="1"/>
  <c r="H19" i="38"/>
  <c r="AR15" i="39" s="1"/>
  <c r="G16" i="38"/>
  <c r="AQ12" i="39" s="1"/>
  <c r="J17" i="38"/>
  <c r="H15" i="38"/>
  <c r="AR11" i="39" s="1"/>
  <c r="G24" i="38"/>
  <c r="AQ19" i="39" s="1"/>
  <c r="H17" i="38"/>
  <c r="AR13" i="39" s="1"/>
  <c r="G19" i="38"/>
  <c r="AQ15" i="39" s="1"/>
  <c r="H16" i="38"/>
  <c r="AR12" i="39" s="1"/>
  <c r="G17" i="38"/>
  <c r="AQ13" i="39" s="1"/>
  <c r="G15" i="38"/>
  <c r="AQ11" i="39" s="1"/>
  <c r="R125" i="37"/>
  <c r="R124" i="37"/>
  <c r="U125" i="37"/>
  <c r="I30" i="38" s="1"/>
  <c r="AS25" i="39" s="1"/>
  <c r="P125" i="37"/>
  <c r="C30" i="38" s="1"/>
  <c r="AM25" i="39" s="1"/>
  <c r="U124" i="37"/>
  <c r="I29" i="38" s="1"/>
  <c r="AS24" i="39" s="1"/>
  <c r="Q125" i="37"/>
  <c r="D30" i="38" s="1"/>
  <c r="P124" i="37"/>
  <c r="C29" i="38" s="1"/>
  <c r="AM24" i="39" s="1"/>
  <c r="Q124" i="37"/>
  <c r="D29" i="38" s="1"/>
  <c r="R123" i="37"/>
  <c r="Q123" i="37"/>
  <c r="U123" i="37"/>
  <c r="U122" i="37"/>
  <c r="Q121" i="37"/>
  <c r="U120" i="37"/>
  <c r="Q119" i="37"/>
  <c r="Q115" i="37"/>
  <c r="Q78" i="37"/>
  <c r="Q75" i="37"/>
  <c r="Q63" i="37"/>
  <c r="Q65" i="37"/>
  <c r="Q55" i="37"/>
  <c r="Q76" i="37"/>
  <c r="Q59" i="37"/>
  <c r="Q68" i="37"/>
  <c r="Q61" i="37"/>
  <c r="Q51" i="37"/>
  <c r="Q104" i="37"/>
  <c r="Q102" i="37"/>
  <c r="Q71" i="37"/>
  <c r="Q108" i="37"/>
  <c r="Q49" i="37"/>
  <c r="Q44" i="37"/>
  <c r="U69" i="37"/>
  <c r="U64" i="37"/>
  <c r="U60" i="37"/>
  <c r="U58" i="37"/>
  <c r="U52" i="37"/>
  <c r="U50" i="37"/>
  <c r="U48" i="37"/>
  <c r="U77" i="37"/>
  <c r="U74" i="37"/>
  <c r="U67" i="37"/>
  <c r="I18" i="38" s="1"/>
  <c r="AS14" i="39" s="1"/>
  <c r="U62" i="37"/>
  <c r="U54" i="37"/>
  <c r="U72" i="37"/>
  <c r="Q113" i="37"/>
  <c r="Q96" i="37"/>
  <c r="Q92" i="37"/>
  <c r="Q86" i="37"/>
  <c r="Q82" i="37"/>
  <c r="Q53" i="37"/>
  <c r="Q111" i="37"/>
  <c r="Q98" i="37"/>
  <c r="Q94" i="37"/>
  <c r="Q88" i="37"/>
  <c r="Q84" i="37"/>
  <c r="Q80" i="37"/>
  <c r="Q73" i="37"/>
  <c r="P76" i="37"/>
  <c r="U70" i="37"/>
  <c r="I20" i="38" s="1"/>
  <c r="AS16" i="39" s="1"/>
  <c r="R70" i="37"/>
  <c r="Q70" i="37"/>
  <c r="D20" i="38" s="1"/>
  <c r="P71" i="37"/>
  <c r="U73" i="37"/>
  <c r="U63" i="37"/>
  <c r="U61" i="37"/>
  <c r="U55" i="37"/>
  <c r="U53" i="37"/>
  <c r="U51" i="37"/>
  <c r="U49" i="37"/>
  <c r="U47" i="37"/>
  <c r="U45" i="37"/>
  <c r="U75" i="37"/>
  <c r="U71" i="37"/>
  <c r="U68" i="37"/>
  <c r="U65" i="37"/>
  <c r="U59" i="37"/>
  <c r="U112" i="37"/>
  <c r="U93" i="37"/>
  <c r="U83" i="37"/>
  <c r="U97" i="37"/>
  <c r="U87" i="37"/>
  <c r="Q72" i="37"/>
  <c r="Q67" i="37"/>
  <c r="D18" i="38" s="1"/>
  <c r="Q62" i="37"/>
  <c r="Q60" i="37"/>
  <c r="Q58" i="37"/>
  <c r="Q54" i="37"/>
  <c r="Q52" i="37"/>
  <c r="Q50" i="37"/>
  <c r="Q48" i="37"/>
  <c r="Q46" i="37"/>
  <c r="U110" i="37"/>
  <c r="U114" i="37"/>
  <c r="U101" i="37"/>
  <c r="U89" i="37"/>
  <c r="U81" i="37"/>
  <c r="Q74" i="37"/>
  <c r="Q69" i="37"/>
  <c r="Q64" i="37"/>
  <c r="R75" i="37"/>
  <c r="U118" i="37"/>
  <c r="U105" i="37"/>
  <c r="U103" i="37"/>
  <c r="U95" i="37"/>
  <c r="U85" i="37"/>
  <c r="U79" i="37"/>
  <c r="Q110" i="37"/>
  <c r="Q122" i="37"/>
  <c r="Q118" i="37"/>
  <c r="Q109" i="37"/>
  <c r="Q103" i="37"/>
  <c r="Q97" i="37"/>
  <c r="Q89" i="37"/>
  <c r="Q85" i="37"/>
  <c r="Q83" i="37"/>
  <c r="Q81" i="37"/>
  <c r="Q79" i="37"/>
  <c r="Q77" i="37"/>
  <c r="U109" i="37"/>
  <c r="Q120" i="37"/>
  <c r="Q114" i="37"/>
  <c r="Q112" i="37"/>
  <c r="Q105" i="37"/>
  <c r="Q101" i="37"/>
  <c r="Q95" i="37"/>
  <c r="Q93" i="37"/>
  <c r="Q87" i="37"/>
  <c r="U121" i="37"/>
  <c r="U119" i="37"/>
  <c r="U115" i="37"/>
  <c r="U113" i="37"/>
  <c r="U111" i="37"/>
  <c r="U108" i="37"/>
  <c r="U104" i="37"/>
  <c r="U102" i="37"/>
  <c r="U98" i="37"/>
  <c r="U96" i="37"/>
  <c r="U94" i="37"/>
  <c r="U92" i="37"/>
  <c r="U88" i="37"/>
  <c r="U86" i="37"/>
  <c r="U84" i="37"/>
  <c r="U82" i="37"/>
  <c r="U80" i="37"/>
  <c r="U78" i="37"/>
  <c r="U76" i="37"/>
  <c r="P122" i="37"/>
  <c r="R121" i="37"/>
  <c r="R119" i="37"/>
  <c r="P120" i="37"/>
  <c r="R115" i="37"/>
  <c r="P118" i="37"/>
  <c r="P114" i="37"/>
  <c r="R113" i="37"/>
  <c r="P112" i="37"/>
  <c r="R111" i="37"/>
  <c r="P109" i="37"/>
  <c r="R108" i="37"/>
  <c r="R104" i="37"/>
  <c r="P105" i="37"/>
  <c r="R102" i="37"/>
  <c r="P103" i="37"/>
  <c r="P101" i="37"/>
  <c r="R98" i="37"/>
  <c r="R96" i="37"/>
  <c r="P97" i="37"/>
  <c r="P95" i="37"/>
  <c r="R94" i="37"/>
  <c r="P93" i="37"/>
  <c r="R92" i="37"/>
  <c r="P89" i="37"/>
  <c r="R88" i="37"/>
  <c r="P87" i="37"/>
  <c r="R86" i="37"/>
  <c r="R84" i="37"/>
  <c r="P85" i="37"/>
  <c r="P83" i="37"/>
  <c r="R82" i="37"/>
  <c r="P81" i="37"/>
  <c r="R80" i="37"/>
  <c r="P79" i="37"/>
  <c r="R78" i="37"/>
  <c r="P77" i="37"/>
  <c r="R76" i="37"/>
  <c r="R73" i="37"/>
  <c r="P74" i="37"/>
  <c r="P72" i="37"/>
  <c r="R71" i="37"/>
  <c r="R68" i="37"/>
  <c r="P69" i="37"/>
  <c r="R65" i="37"/>
  <c r="P67" i="37"/>
  <c r="C18" i="38" s="1"/>
  <c r="AM14" i="39" s="1"/>
  <c r="R63" i="37"/>
  <c r="P64" i="37"/>
  <c r="P62" i="37"/>
  <c r="R61" i="37"/>
  <c r="P60" i="37"/>
  <c r="R59" i="37"/>
  <c r="P58" i="37"/>
  <c r="R55" i="37"/>
  <c r="P54" i="37"/>
  <c r="R53" i="37"/>
  <c r="P52" i="37"/>
  <c r="R51" i="37"/>
  <c r="R49" i="37"/>
  <c r="P50" i="37"/>
  <c r="P48" i="37"/>
  <c r="R47" i="37"/>
  <c r="P46" i="37"/>
  <c r="R45" i="37"/>
  <c r="P44" i="37"/>
  <c r="R43" i="37"/>
  <c r="R110" i="37"/>
  <c r="P111" i="37"/>
  <c r="R122" i="37"/>
  <c r="P123" i="37"/>
  <c r="P121" i="37"/>
  <c r="R120" i="37"/>
  <c r="R118" i="37"/>
  <c r="P119" i="37"/>
  <c r="R114" i="37"/>
  <c r="P115" i="37"/>
  <c r="P113" i="37"/>
  <c r="R112" i="37"/>
  <c r="P110" i="37"/>
  <c r="R109" i="37"/>
  <c r="R105" i="37"/>
  <c r="P108" i="37"/>
  <c r="R103" i="37"/>
  <c r="P104" i="37"/>
  <c r="P102" i="37"/>
  <c r="R101" i="37"/>
  <c r="P98" i="37"/>
  <c r="R97" i="37"/>
  <c r="R95" i="37"/>
  <c r="P96" i="37"/>
  <c r="P94" i="37"/>
  <c r="R93" i="37"/>
  <c r="P92" i="37"/>
  <c r="R89" i="37"/>
  <c r="R87" i="37"/>
  <c r="P88" i="37"/>
  <c r="R85" i="37"/>
  <c r="P86" i="37"/>
  <c r="P84" i="37"/>
  <c r="R83" i="37"/>
  <c r="P82" i="37"/>
  <c r="R81" i="37"/>
  <c r="P80" i="37"/>
  <c r="R79" i="37"/>
  <c r="R77" i="37"/>
  <c r="P78" i="37"/>
  <c r="R74" i="37"/>
  <c r="P75" i="37"/>
  <c r="R72" i="37"/>
  <c r="P73" i="37"/>
  <c r="R69" i="37"/>
  <c r="P70" i="37"/>
  <c r="C20" i="38" s="1"/>
  <c r="AM16" i="39" s="1"/>
  <c r="P68" i="37"/>
  <c r="R67" i="37"/>
  <c r="P65" i="37"/>
  <c r="R64" i="37"/>
  <c r="P63" i="37"/>
  <c r="R62" i="37"/>
  <c r="R60" i="37"/>
  <c r="P61" i="37"/>
  <c r="R58" i="37"/>
  <c r="P59" i="37"/>
  <c r="R54" i="37"/>
  <c r="P55" i="37"/>
  <c r="P53" i="37"/>
  <c r="R52" i="37"/>
  <c r="R50" i="37"/>
  <c r="P51" i="37"/>
  <c r="R48" i="37"/>
  <c r="P49" i="37"/>
  <c r="P47" i="37"/>
  <c r="R46" i="37"/>
  <c r="P45" i="37"/>
  <c r="R44" i="37"/>
  <c r="Q43" i="37"/>
  <c r="P43" i="37"/>
  <c r="J14" i="38" l="1"/>
  <c r="J13" i="38" s="1"/>
  <c r="AT13" i="39"/>
  <c r="I28" i="38"/>
  <c r="AS23" i="39" s="1"/>
  <c r="H22" i="38"/>
  <c r="I25" i="38"/>
  <c r="AS20" i="39" s="1"/>
  <c r="I26" i="38"/>
  <c r="AS21" i="39" s="1"/>
  <c r="I23" i="38"/>
  <c r="AS18" i="39" s="1"/>
  <c r="I24" i="38"/>
  <c r="AS19" i="39" s="1"/>
  <c r="I27" i="38"/>
  <c r="AS22" i="39" s="1"/>
  <c r="I15" i="38"/>
  <c r="AS11" i="39" s="1"/>
  <c r="G22" i="38"/>
  <c r="H14" i="38"/>
  <c r="I16" i="38"/>
  <c r="AS12" i="39" s="1"/>
  <c r="I19" i="38"/>
  <c r="AS15" i="39" s="1"/>
  <c r="I21" i="38"/>
  <c r="AS17" i="39" s="1"/>
  <c r="I17" i="38"/>
  <c r="AS13" i="39" s="1"/>
  <c r="E25" i="38"/>
  <c r="D23" i="38"/>
  <c r="G14" i="38"/>
  <c r="E24" i="38"/>
  <c r="AO19" i="39" s="1"/>
  <c r="E19" i="38"/>
  <c r="AO15" i="39" s="1"/>
  <c r="D25" i="38"/>
  <c r="E28" i="38"/>
  <c r="AO23" i="39" s="1"/>
  <c r="D28" i="38"/>
  <c r="E23" i="38"/>
  <c r="AO18" i="39" s="1"/>
  <c r="D26" i="38"/>
  <c r="D27" i="38"/>
  <c r="E26" i="38"/>
  <c r="AO21" i="39" s="1"/>
  <c r="E29" i="38"/>
  <c r="AO24" i="39" s="1"/>
  <c r="E27" i="38"/>
  <c r="AO22" i="39" s="1"/>
  <c r="D24" i="38"/>
  <c r="E30" i="38"/>
  <c r="AO25" i="39" s="1"/>
  <c r="D19" i="38"/>
  <c r="E15" i="38"/>
  <c r="E17" i="38"/>
  <c r="AO13" i="39" s="1"/>
  <c r="E21" i="38"/>
  <c r="AO17" i="39" s="1"/>
  <c r="E20" i="38"/>
  <c r="AO16" i="39" s="1"/>
  <c r="D21" i="38"/>
  <c r="D15" i="38"/>
  <c r="E18" i="38"/>
  <c r="F18" i="38" s="1"/>
  <c r="AP14" i="39" s="1"/>
  <c r="E16" i="38"/>
  <c r="AO12" i="39" s="1"/>
  <c r="D16" i="38"/>
  <c r="D17" i="38"/>
  <c r="AN16" i="39"/>
  <c r="AN14" i="39"/>
  <c r="AN24" i="39"/>
  <c r="AN25" i="39"/>
  <c r="C19" i="38"/>
  <c r="AM15" i="39" s="1"/>
  <c r="C17" i="38"/>
  <c r="AM13" i="39" s="1"/>
  <c r="C16" i="38"/>
  <c r="AM12" i="39" s="1"/>
  <c r="C27" i="38"/>
  <c r="AM22" i="39" s="1"/>
  <c r="C24" i="38"/>
  <c r="AM19" i="39" s="1"/>
  <c r="C23" i="38"/>
  <c r="AM18" i="39" s="1"/>
  <c r="C25" i="38"/>
  <c r="AM20" i="39" s="1"/>
  <c r="C21" i="38"/>
  <c r="AM17" i="39" s="1"/>
  <c r="C28" i="38"/>
  <c r="AM23" i="39" s="1"/>
  <c r="C26" i="38"/>
  <c r="AM21" i="39" s="1"/>
  <c r="C15" i="38"/>
  <c r="AU19" i="39" l="1" a="1"/>
  <c r="AU19" i="39" s="1"/>
  <c r="AU17" i="39" a="1"/>
  <c r="AU17" i="39" s="1"/>
  <c r="G13" i="38"/>
  <c r="H13" i="38"/>
  <c r="I22" i="38"/>
  <c r="I14" i="38"/>
  <c r="AO14" i="39"/>
  <c r="AU14" i="39" s="1" a="1"/>
  <c r="AU14" i="39" s="1"/>
  <c r="F29" i="38"/>
  <c r="AP24" i="39" s="1"/>
  <c r="AU24" i="39" s="1" a="1"/>
  <c r="AU24" i="39" s="1"/>
  <c r="F20" i="38"/>
  <c r="AP16" i="39" s="1"/>
  <c r="AU16" i="39" s="1" a="1"/>
  <c r="AU16" i="39" s="1"/>
  <c r="F30" i="38"/>
  <c r="AP25" i="39" s="1"/>
  <c r="AU25" i="39" s="1" a="1"/>
  <c r="AU25" i="39" s="1"/>
  <c r="E22" i="38"/>
  <c r="D22" i="38"/>
  <c r="E14" i="38"/>
  <c r="AN15" i="39"/>
  <c r="AN17" i="39"/>
  <c r="AN18" i="39"/>
  <c r="AN21" i="39"/>
  <c r="AN23" i="39"/>
  <c r="AN19" i="39"/>
  <c r="AN13" i="39"/>
  <c r="AN12" i="39"/>
  <c r="AU12" i="39" s="1" a="1"/>
  <c r="AU12" i="39" s="1"/>
  <c r="AN20" i="39"/>
  <c r="AN22" i="39"/>
  <c r="F19" i="38"/>
  <c r="AP15" i="39" s="1"/>
  <c r="AU15" i="39" s="1" a="1"/>
  <c r="AU15" i="39" s="1"/>
  <c r="F25" i="38"/>
  <c r="AP20" i="39" s="1"/>
  <c r="F17" i="38"/>
  <c r="AP13" i="39" s="1"/>
  <c r="AO20" i="39"/>
  <c r="F16" i="38"/>
  <c r="AP12" i="39" s="1"/>
  <c r="F24" i="38"/>
  <c r="AP19" i="39" s="1"/>
  <c r="F28" i="38"/>
  <c r="AP23" i="39" s="1"/>
  <c r="AU23" i="39" s="1" a="1"/>
  <c r="AU23" i="39" s="1"/>
  <c r="C22" i="38"/>
  <c r="F23" i="38"/>
  <c r="AP18" i="39" s="1"/>
  <c r="F27" i="38"/>
  <c r="AP22" i="39" s="1"/>
  <c r="F26" i="38"/>
  <c r="AP21" i="39" s="1"/>
  <c r="AU21" i="39" s="1" a="1"/>
  <c r="AU21" i="39" s="1"/>
  <c r="F21" i="38"/>
  <c r="AP17" i="39" s="1"/>
  <c r="AO11" i="39"/>
  <c r="C14" i="38"/>
  <c r="AM11" i="39"/>
  <c r="AU18" i="39" l="1" a="1"/>
  <c r="AU18" i="39" s="1"/>
  <c r="AU22" i="39" a="1"/>
  <c r="AU22" i="39" s="1"/>
  <c r="AU13" i="39" a="1"/>
  <c r="AU13" i="39" s="1"/>
  <c r="AU20" i="39" a="1"/>
  <c r="AU20" i="39" s="1"/>
  <c r="I13" i="38"/>
  <c r="F22" i="38"/>
  <c r="C13" i="38"/>
  <c r="E13" i="38"/>
  <c r="E5" i="7"/>
  <c r="E4" i="7"/>
  <c r="D5" i="7"/>
  <c r="D4" i="7"/>
  <c r="C5" i="7"/>
  <c r="C4" i="7"/>
  <c r="D67" i="6" l="1"/>
  <c r="D66" i="6"/>
  <c r="D65" i="6"/>
  <c r="D64" i="6"/>
  <c r="D59" i="6"/>
  <c r="D58" i="6"/>
  <c r="D57" i="6"/>
  <c r="D74" i="6"/>
  <c r="D73" i="6"/>
  <c r="D72" i="6"/>
  <c r="D71" i="6"/>
  <c r="D70" i="6"/>
  <c r="D69" i="6"/>
  <c r="D68" i="6"/>
  <c r="D63" i="6"/>
  <c r="D62" i="6"/>
  <c r="D61" i="6"/>
  <c r="D55" i="6"/>
  <c r="D54" i="6"/>
  <c r="D53" i="6"/>
  <c r="D51" i="6"/>
  <c r="D50" i="6"/>
  <c r="D49" i="6"/>
  <c r="D46" i="6"/>
  <c r="D45" i="6"/>
  <c r="D44" i="6"/>
  <c r="D41" i="6"/>
  <c r="D40" i="6"/>
  <c r="D36" i="6"/>
  <c r="D35" i="6"/>
  <c r="D34" i="6"/>
  <c r="D32" i="6"/>
  <c r="D31" i="6"/>
  <c r="D7" i="6"/>
  <c r="Q12" i="36"/>
  <c r="Q14" i="36"/>
  <c r="Q17" i="36"/>
  <c r="U15" i="36"/>
  <c r="Q15" i="36"/>
  <c r="U14" i="36"/>
  <c r="U16" i="36"/>
  <c r="X15" i="36"/>
  <c r="Q16" i="36"/>
  <c r="U13" i="36"/>
  <c r="U17" i="36"/>
  <c r="X12" i="36"/>
  <c r="C36" i="37" l="1"/>
  <c r="AB36" i="37" s="1"/>
  <c r="B36" i="37"/>
  <c r="U36" i="37" l="1"/>
  <c r="X36" i="37"/>
  <c r="Y36" i="37"/>
  <c r="Z36" i="37"/>
  <c r="AA36" i="37"/>
  <c r="AC36" i="37"/>
  <c r="Q36" i="37"/>
  <c r="S36" i="37"/>
  <c r="T36" i="37"/>
  <c r="R36" i="37"/>
  <c r="V36" i="37"/>
  <c r="E53" i="7"/>
  <c r="D53" i="7"/>
  <c r="C53" i="7"/>
  <c r="D11" i="6" l="1"/>
  <c r="C67" i="7"/>
  <c r="D67" i="7"/>
  <c r="E67" i="7"/>
  <c r="C68" i="7"/>
  <c r="D68" i="7"/>
  <c r="E68" i="7"/>
  <c r="C65" i="7"/>
  <c r="D65" i="7"/>
  <c r="E65" i="7"/>
  <c r="C66" i="7"/>
  <c r="D66" i="7"/>
  <c r="E66" i="7"/>
  <c r="C64" i="7"/>
  <c r="D64" i="7"/>
  <c r="E64" i="7"/>
  <c r="E63" i="7"/>
  <c r="D63" i="7"/>
  <c r="C63" i="7"/>
  <c r="D6" i="6" l="1"/>
  <c r="D10" i="6"/>
  <c r="S1" i="32"/>
  <c r="K3" i="31" l="1"/>
  <c r="B70" i="7" l="1"/>
  <c r="B71" i="7"/>
  <c r="F4" i="7" l="1"/>
  <c r="G4" i="7"/>
  <c r="H4" i="7"/>
  <c r="I4" i="7"/>
  <c r="J4" i="7"/>
  <c r="K4" i="7"/>
  <c r="L4" i="7"/>
  <c r="M4" i="7"/>
  <c r="N4" i="7"/>
  <c r="O4" i="7"/>
  <c r="P4" i="7"/>
  <c r="F70" i="7" l="1"/>
  <c r="G70" i="7"/>
  <c r="H70" i="7"/>
  <c r="I70" i="7"/>
  <c r="J70" i="7"/>
  <c r="K70" i="7"/>
  <c r="L70" i="7"/>
  <c r="M70" i="7"/>
  <c r="N70" i="7"/>
  <c r="O70" i="7"/>
  <c r="P70" i="7"/>
  <c r="B83" i="7"/>
  <c r="B82" i="7"/>
  <c r="B81" i="7"/>
  <c r="B80" i="7"/>
  <c r="B79" i="7"/>
  <c r="B78" i="7"/>
  <c r="B77" i="7"/>
  <c r="B76" i="7"/>
  <c r="B75" i="7"/>
  <c r="B74" i="7"/>
  <c r="B73" i="7"/>
  <c r="B72" i="7"/>
  <c r="D51" i="7"/>
  <c r="F3" i="7"/>
  <c r="G3" i="7"/>
  <c r="H3" i="7"/>
  <c r="I3" i="7"/>
  <c r="J3" i="7"/>
  <c r="K3" i="7"/>
  <c r="L3" i="7"/>
  <c r="M3" i="7"/>
  <c r="N3" i="7"/>
  <c r="O3" i="7"/>
  <c r="P3" i="7"/>
  <c r="E6" i="7"/>
  <c r="F6" i="7"/>
  <c r="G6" i="7"/>
  <c r="H6" i="7"/>
  <c r="I6" i="7"/>
  <c r="J6" i="7"/>
  <c r="K6" i="7"/>
  <c r="L6" i="7"/>
  <c r="M6" i="7"/>
  <c r="N6" i="7"/>
  <c r="O6" i="7"/>
  <c r="P6" i="7"/>
  <c r="E7" i="7"/>
  <c r="F7" i="7"/>
  <c r="G7" i="7"/>
  <c r="H7" i="7"/>
  <c r="I7" i="7"/>
  <c r="J7" i="7"/>
  <c r="K7" i="7"/>
  <c r="L7" i="7"/>
  <c r="M7" i="7"/>
  <c r="N7" i="7"/>
  <c r="O7" i="7"/>
  <c r="P7" i="7"/>
  <c r="E8" i="7"/>
  <c r="F8" i="7"/>
  <c r="G8" i="7"/>
  <c r="H8" i="7"/>
  <c r="I8" i="7"/>
  <c r="J8" i="7"/>
  <c r="K8" i="7"/>
  <c r="L8" i="7"/>
  <c r="M8" i="7"/>
  <c r="N8" i="7"/>
  <c r="O8" i="7"/>
  <c r="P8" i="7"/>
  <c r="E9" i="7"/>
  <c r="F9" i="7"/>
  <c r="G9" i="7"/>
  <c r="H9" i="7"/>
  <c r="I9" i="7"/>
  <c r="J9" i="7"/>
  <c r="K9" i="7"/>
  <c r="L9" i="7"/>
  <c r="M9" i="7"/>
  <c r="N9" i="7"/>
  <c r="O9" i="7"/>
  <c r="P9" i="7"/>
  <c r="E11" i="7"/>
  <c r="F11" i="7"/>
  <c r="G11" i="7"/>
  <c r="H11" i="7"/>
  <c r="I11" i="7"/>
  <c r="J11" i="7"/>
  <c r="K11" i="7"/>
  <c r="L11" i="7"/>
  <c r="M11" i="7"/>
  <c r="N11" i="7"/>
  <c r="O11" i="7"/>
  <c r="P11" i="7"/>
  <c r="E12" i="7"/>
  <c r="F12" i="7"/>
  <c r="G12" i="7"/>
  <c r="H12" i="7"/>
  <c r="I12" i="7"/>
  <c r="J12" i="7"/>
  <c r="K12" i="7"/>
  <c r="L12" i="7"/>
  <c r="M12" i="7"/>
  <c r="N12" i="7"/>
  <c r="O12" i="7"/>
  <c r="P12" i="7"/>
  <c r="E14" i="7"/>
  <c r="F14" i="7"/>
  <c r="G14" i="7"/>
  <c r="H14" i="7"/>
  <c r="I14" i="7"/>
  <c r="J14" i="7"/>
  <c r="K14" i="7"/>
  <c r="L14" i="7"/>
  <c r="M14" i="7"/>
  <c r="N14" i="7"/>
  <c r="O14" i="7"/>
  <c r="P14" i="7"/>
  <c r="E15" i="7"/>
  <c r="F15" i="7"/>
  <c r="G15" i="7"/>
  <c r="H15" i="7"/>
  <c r="I15" i="7"/>
  <c r="J15" i="7"/>
  <c r="K15" i="7"/>
  <c r="L15" i="7"/>
  <c r="M15" i="7"/>
  <c r="N15" i="7"/>
  <c r="O15" i="7"/>
  <c r="P15" i="7"/>
  <c r="E17" i="7"/>
  <c r="F17" i="7"/>
  <c r="G17" i="7"/>
  <c r="H17" i="7"/>
  <c r="I17" i="7"/>
  <c r="J17" i="7"/>
  <c r="K17" i="7"/>
  <c r="L17" i="7"/>
  <c r="M17" i="7"/>
  <c r="N17" i="7"/>
  <c r="O17" i="7"/>
  <c r="P17" i="7"/>
  <c r="E18" i="7"/>
  <c r="F18" i="7"/>
  <c r="G18" i="7"/>
  <c r="H18" i="7"/>
  <c r="I18" i="7"/>
  <c r="J18" i="7"/>
  <c r="K18" i="7"/>
  <c r="L18" i="7"/>
  <c r="M18" i="7"/>
  <c r="N18" i="7"/>
  <c r="O18" i="7"/>
  <c r="P18" i="7"/>
  <c r="E19" i="7"/>
  <c r="F19" i="7"/>
  <c r="G19" i="7"/>
  <c r="H19" i="7"/>
  <c r="I19" i="7"/>
  <c r="J19" i="7"/>
  <c r="K19" i="7"/>
  <c r="L19" i="7"/>
  <c r="M19" i="7"/>
  <c r="N19" i="7"/>
  <c r="O19" i="7"/>
  <c r="P19" i="7"/>
  <c r="E20" i="7"/>
  <c r="F20" i="7"/>
  <c r="G20" i="7"/>
  <c r="H20" i="7"/>
  <c r="I20" i="7"/>
  <c r="J20" i="7"/>
  <c r="K20" i="7"/>
  <c r="L20" i="7"/>
  <c r="M20" i="7"/>
  <c r="N20" i="7"/>
  <c r="O20" i="7"/>
  <c r="P20" i="7"/>
  <c r="E22" i="7"/>
  <c r="F22" i="7"/>
  <c r="G22" i="7"/>
  <c r="H22" i="7"/>
  <c r="I22" i="7"/>
  <c r="J22" i="7"/>
  <c r="K22" i="7"/>
  <c r="L22" i="7"/>
  <c r="M22" i="7"/>
  <c r="N22" i="7"/>
  <c r="O22" i="7"/>
  <c r="P22" i="7"/>
  <c r="E23" i="7"/>
  <c r="F23" i="7"/>
  <c r="G23" i="7"/>
  <c r="H23" i="7"/>
  <c r="I23" i="7"/>
  <c r="J23" i="7"/>
  <c r="K23" i="7"/>
  <c r="L23" i="7"/>
  <c r="M23" i="7"/>
  <c r="N23" i="7"/>
  <c r="O23" i="7"/>
  <c r="P23" i="7"/>
  <c r="E24" i="7"/>
  <c r="F24" i="7"/>
  <c r="G24" i="7"/>
  <c r="H24" i="7"/>
  <c r="I24" i="7"/>
  <c r="J24" i="7"/>
  <c r="K24" i="7"/>
  <c r="L24" i="7"/>
  <c r="M24" i="7"/>
  <c r="N24" i="7"/>
  <c r="O24" i="7"/>
  <c r="P24" i="7"/>
  <c r="E25" i="7"/>
  <c r="F25" i="7"/>
  <c r="G25" i="7"/>
  <c r="H25" i="7"/>
  <c r="I25" i="7"/>
  <c r="J25" i="7"/>
  <c r="K25" i="7"/>
  <c r="L25" i="7"/>
  <c r="M25" i="7"/>
  <c r="N25" i="7"/>
  <c r="O25" i="7"/>
  <c r="P25" i="7"/>
  <c r="E26" i="7"/>
  <c r="F26" i="7"/>
  <c r="G26" i="7"/>
  <c r="H26" i="7"/>
  <c r="I26" i="7"/>
  <c r="J26" i="7"/>
  <c r="K26" i="7"/>
  <c r="L26" i="7"/>
  <c r="M26" i="7"/>
  <c r="N26" i="7"/>
  <c r="O26" i="7"/>
  <c r="P26" i="7"/>
  <c r="E28" i="7"/>
  <c r="F28" i="7"/>
  <c r="G28" i="7"/>
  <c r="H28" i="7"/>
  <c r="I28" i="7"/>
  <c r="J28" i="7"/>
  <c r="K28" i="7"/>
  <c r="L28" i="7"/>
  <c r="M28" i="7"/>
  <c r="N28" i="7"/>
  <c r="O28" i="7"/>
  <c r="P28" i="7"/>
  <c r="E29" i="7"/>
  <c r="F29" i="7"/>
  <c r="G29" i="7"/>
  <c r="H29" i="7"/>
  <c r="I29" i="7"/>
  <c r="J29" i="7"/>
  <c r="K29" i="7"/>
  <c r="L29" i="7"/>
  <c r="M29" i="7"/>
  <c r="N29" i="7"/>
  <c r="O29" i="7"/>
  <c r="P29" i="7"/>
  <c r="E30" i="7"/>
  <c r="F30" i="7"/>
  <c r="G30" i="7"/>
  <c r="H30" i="7"/>
  <c r="I30" i="7"/>
  <c r="J30" i="7"/>
  <c r="K30" i="7"/>
  <c r="L30" i="7"/>
  <c r="M30" i="7"/>
  <c r="N30" i="7"/>
  <c r="O30" i="7"/>
  <c r="P30" i="7"/>
  <c r="E32" i="7"/>
  <c r="F32" i="7"/>
  <c r="G32" i="7"/>
  <c r="H32" i="7"/>
  <c r="I32" i="7"/>
  <c r="J32" i="7"/>
  <c r="K32" i="7"/>
  <c r="L32" i="7"/>
  <c r="M32" i="7"/>
  <c r="N32" i="7"/>
  <c r="O32" i="7"/>
  <c r="P32" i="7"/>
  <c r="E33" i="7"/>
  <c r="F33" i="7"/>
  <c r="G33" i="7"/>
  <c r="H33" i="7"/>
  <c r="I33" i="7"/>
  <c r="J33" i="7"/>
  <c r="K33" i="7"/>
  <c r="L33" i="7"/>
  <c r="M33" i="7"/>
  <c r="N33" i="7"/>
  <c r="O33" i="7"/>
  <c r="P33" i="7"/>
  <c r="E34" i="7"/>
  <c r="F34" i="7"/>
  <c r="G34" i="7"/>
  <c r="H34" i="7"/>
  <c r="I34" i="7"/>
  <c r="J34" i="7"/>
  <c r="K34" i="7"/>
  <c r="L34" i="7"/>
  <c r="M34" i="7"/>
  <c r="N34" i="7"/>
  <c r="O34" i="7"/>
  <c r="P34" i="7"/>
  <c r="E36" i="7"/>
  <c r="F36" i="7"/>
  <c r="G36" i="7"/>
  <c r="H36" i="7"/>
  <c r="I36" i="7"/>
  <c r="J36" i="7"/>
  <c r="K36" i="7"/>
  <c r="L36" i="7"/>
  <c r="M36" i="7"/>
  <c r="N36" i="7"/>
  <c r="O36" i="7"/>
  <c r="P36" i="7"/>
  <c r="E37" i="7"/>
  <c r="F37" i="7"/>
  <c r="G37" i="7"/>
  <c r="H37" i="7"/>
  <c r="I37" i="7"/>
  <c r="J37" i="7"/>
  <c r="K37" i="7"/>
  <c r="L37" i="7"/>
  <c r="M37" i="7"/>
  <c r="N37" i="7"/>
  <c r="O37" i="7"/>
  <c r="P37" i="7"/>
  <c r="E38" i="7"/>
  <c r="F38" i="7"/>
  <c r="G38" i="7"/>
  <c r="H38" i="7"/>
  <c r="I38" i="7"/>
  <c r="J38" i="7"/>
  <c r="K38" i="7"/>
  <c r="L38" i="7"/>
  <c r="M38" i="7"/>
  <c r="N38" i="7"/>
  <c r="O38" i="7"/>
  <c r="P38" i="7"/>
  <c r="E39" i="7"/>
  <c r="F39" i="7"/>
  <c r="G39" i="7"/>
  <c r="H39" i="7"/>
  <c r="I39" i="7"/>
  <c r="J39" i="7"/>
  <c r="K39" i="7"/>
  <c r="L39" i="7"/>
  <c r="M39" i="7"/>
  <c r="N39" i="7"/>
  <c r="O39" i="7"/>
  <c r="P39" i="7"/>
  <c r="E40" i="7"/>
  <c r="F40" i="7"/>
  <c r="G40" i="7"/>
  <c r="H40" i="7"/>
  <c r="I40" i="7"/>
  <c r="J40" i="7"/>
  <c r="K40" i="7"/>
  <c r="L40" i="7"/>
  <c r="M40" i="7"/>
  <c r="N40" i="7"/>
  <c r="O40" i="7"/>
  <c r="P40" i="7"/>
  <c r="E41" i="7"/>
  <c r="F41" i="7"/>
  <c r="G41" i="7"/>
  <c r="H41" i="7"/>
  <c r="I41" i="7"/>
  <c r="J41" i="7"/>
  <c r="K41" i="7"/>
  <c r="L41" i="7"/>
  <c r="M41" i="7"/>
  <c r="N41" i="7"/>
  <c r="O41" i="7"/>
  <c r="P41" i="7"/>
  <c r="E42" i="7"/>
  <c r="F42" i="7"/>
  <c r="G42" i="7"/>
  <c r="H42" i="7"/>
  <c r="I42" i="7"/>
  <c r="J42" i="7"/>
  <c r="K42" i="7"/>
  <c r="L42" i="7"/>
  <c r="M42" i="7"/>
  <c r="N42" i="7"/>
  <c r="O42" i="7"/>
  <c r="P42" i="7"/>
  <c r="E43" i="7"/>
  <c r="F43" i="7"/>
  <c r="G43" i="7"/>
  <c r="H43" i="7"/>
  <c r="I43" i="7"/>
  <c r="J43" i="7"/>
  <c r="K43" i="7"/>
  <c r="L43" i="7"/>
  <c r="M43" i="7"/>
  <c r="N43" i="7"/>
  <c r="O43" i="7"/>
  <c r="P43" i="7"/>
  <c r="E45" i="7"/>
  <c r="F45" i="7"/>
  <c r="G45" i="7"/>
  <c r="H45" i="7"/>
  <c r="I45" i="7"/>
  <c r="J45" i="7"/>
  <c r="K45" i="7"/>
  <c r="L45" i="7"/>
  <c r="M45" i="7"/>
  <c r="N45" i="7"/>
  <c r="O45" i="7"/>
  <c r="P45" i="7"/>
  <c r="E46" i="7"/>
  <c r="F46" i="7"/>
  <c r="G46" i="7"/>
  <c r="H46" i="7"/>
  <c r="I46" i="7"/>
  <c r="J46" i="7"/>
  <c r="K46" i="7"/>
  <c r="L46" i="7"/>
  <c r="M46" i="7"/>
  <c r="N46" i="7"/>
  <c r="O46" i="7"/>
  <c r="P46" i="7"/>
  <c r="E47" i="7"/>
  <c r="F47" i="7"/>
  <c r="G47" i="7"/>
  <c r="H47" i="7"/>
  <c r="I47" i="7"/>
  <c r="J47" i="7"/>
  <c r="K47" i="7"/>
  <c r="L47" i="7"/>
  <c r="M47" i="7"/>
  <c r="N47" i="7"/>
  <c r="O47" i="7"/>
  <c r="P47" i="7"/>
  <c r="E48" i="7"/>
  <c r="F48" i="7"/>
  <c r="G48" i="7"/>
  <c r="H48" i="7"/>
  <c r="I48" i="7"/>
  <c r="J48" i="7"/>
  <c r="K48" i="7"/>
  <c r="L48" i="7"/>
  <c r="M48" i="7"/>
  <c r="N48" i="7"/>
  <c r="O48" i="7"/>
  <c r="P48" i="7"/>
  <c r="E49" i="7"/>
  <c r="F49" i="7"/>
  <c r="G49" i="7"/>
  <c r="H49" i="7"/>
  <c r="I49" i="7"/>
  <c r="J49" i="7"/>
  <c r="K49" i="7"/>
  <c r="L49" i="7"/>
  <c r="M49" i="7"/>
  <c r="N49" i="7"/>
  <c r="O49" i="7"/>
  <c r="P49" i="7"/>
  <c r="E50" i="7"/>
  <c r="F50" i="7"/>
  <c r="G50" i="7"/>
  <c r="H50" i="7"/>
  <c r="I50" i="7"/>
  <c r="J50" i="7"/>
  <c r="K50" i="7"/>
  <c r="L50" i="7"/>
  <c r="M50" i="7"/>
  <c r="N50" i="7"/>
  <c r="O50" i="7"/>
  <c r="P50" i="7"/>
  <c r="E51" i="7"/>
  <c r="F51" i="7"/>
  <c r="G51" i="7"/>
  <c r="H51" i="7"/>
  <c r="I51" i="7"/>
  <c r="J51" i="7"/>
  <c r="K51" i="7"/>
  <c r="L51" i="7"/>
  <c r="M51" i="7"/>
  <c r="N51" i="7"/>
  <c r="O51" i="7"/>
  <c r="P51" i="7"/>
  <c r="E52" i="7"/>
  <c r="F52" i="7"/>
  <c r="G52" i="7"/>
  <c r="H52" i="7"/>
  <c r="I52" i="7"/>
  <c r="J52" i="7"/>
  <c r="K52" i="7"/>
  <c r="L52" i="7"/>
  <c r="M52" i="7"/>
  <c r="N52" i="7"/>
  <c r="O52" i="7"/>
  <c r="P52" i="7"/>
  <c r="E54" i="7"/>
  <c r="F54" i="7"/>
  <c r="G54" i="7"/>
  <c r="H54" i="7"/>
  <c r="I54" i="7"/>
  <c r="J54" i="7"/>
  <c r="K54" i="7"/>
  <c r="L54" i="7"/>
  <c r="M54" i="7"/>
  <c r="N54" i="7"/>
  <c r="O54" i="7"/>
  <c r="P54" i="7"/>
  <c r="E56" i="7"/>
  <c r="F56" i="7"/>
  <c r="G56" i="7"/>
  <c r="H56" i="7"/>
  <c r="I56" i="7"/>
  <c r="J56" i="7"/>
  <c r="K56" i="7"/>
  <c r="L56" i="7"/>
  <c r="M56" i="7"/>
  <c r="N56" i="7"/>
  <c r="O56" i="7"/>
  <c r="P56" i="7"/>
  <c r="E57" i="7"/>
  <c r="F57" i="7"/>
  <c r="G57" i="7"/>
  <c r="H57" i="7"/>
  <c r="I57" i="7"/>
  <c r="J57" i="7"/>
  <c r="K57" i="7"/>
  <c r="L57" i="7"/>
  <c r="M57" i="7"/>
  <c r="N57" i="7"/>
  <c r="O57" i="7"/>
  <c r="P57" i="7"/>
  <c r="E58" i="7"/>
  <c r="F58" i="7"/>
  <c r="G58" i="7"/>
  <c r="H58" i="7"/>
  <c r="I58" i="7"/>
  <c r="J58" i="7"/>
  <c r="K58" i="7"/>
  <c r="L58" i="7"/>
  <c r="M58" i="7"/>
  <c r="N58" i="7"/>
  <c r="O58" i="7"/>
  <c r="P58" i="7"/>
  <c r="E59" i="7"/>
  <c r="F59" i="7"/>
  <c r="G59" i="7"/>
  <c r="H59" i="7"/>
  <c r="I59" i="7"/>
  <c r="J59" i="7"/>
  <c r="K59" i="7"/>
  <c r="L59" i="7"/>
  <c r="M59" i="7"/>
  <c r="N59" i="7"/>
  <c r="O59" i="7"/>
  <c r="P59" i="7"/>
  <c r="E60" i="7"/>
  <c r="F60" i="7"/>
  <c r="G60" i="7"/>
  <c r="H60" i="7"/>
  <c r="I60" i="7"/>
  <c r="J60" i="7"/>
  <c r="K60" i="7"/>
  <c r="L60" i="7"/>
  <c r="M60" i="7"/>
  <c r="N60" i="7"/>
  <c r="O60" i="7"/>
  <c r="P60" i="7"/>
  <c r="E61" i="7"/>
  <c r="F61" i="7"/>
  <c r="G61" i="7"/>
  <c r="H61" i="7"/>
  <c r="I61" i="7"/>
  <c r="J61" i="7"/>
  <c r="K61" i="7"/>
  <c r="L61" i="7"/>
  <c r="M61" i="7"/>
  <c r="N61" i="7"/>
  <c r="O61" i="7"/>
  <c r="P61" i="7"/>
  <c r="F71" i="7"/>
  <c r="G71" i="7"/>
  <c r="H71" i="7"/>
  <c r="I71" i="7"/>
  <c r="J71" i="7"/>
  <c r="K71" i="7"/>
  <c r="L71" i="7"/>
  <c r="M71" i="7"/>
  <c r="N71" i="7"/>
  <c r="O71" i="7"/>
  <c r="P71" i="7"/>
  <c r="F72" i="7"/>
  <c r="G72" i="7"/>
  <c r="H72" i="7"/>
  <c r="I72" i="7"/>
  <c r="J72" i="7"/>
  <c r="K72" i="7"/>
  <c r="L72" i="7"/>
  <c r="M72" i="7"/>
  <c r="N72" i="7"/>
  <c r="O72" i="7"/>
  <c r="P72" i="7"/>
  <c r="D61" i="7"/>
  <c r="D60" i="7"/>
  <c r="D59" i="7"/>
  <c r="D58" i="7"/>
  <c r="D57" i="7"/>
  <c r="D56" i="7"/>
  <c r="D54" i="7"/>
  <c r="D52" i="7"/>
  <c r="D50" i="7"/>
  <c r="D49" i="7"/>
  <c r="D48" i="7"/>
  <c r="D47" i="7"/>
  <c r="D46" i="7"/>
  <c r="D45" i="7"/>
  <c r="D43" i="7"/>
  <c r="D42" i="7"/>
  <c r="D41" i="7"/>
  <c r="D40" i="7"/>
  <c r="D39" i="7"/>
  <c r="D38" i="7"/>
  <c r="D37" i="7"/>
  <c r="D36" i="7"/>
  <c r="D34" i="7"/>
  <c r="D33" i="7"/>
  <c r="D32" i="7"/>
  <c r="D30" i="7"/>
  <c r="D29" i="7"/>
  <c r="D28" i="7"/>
  <c r="D26" i="7"/>
  <c r="D25" i="7"/>
  <c r="D24" i="7"/>
  <c r="D23" i="7"/>
  <c r="D22" i="7"/>
  <c r="D20" i="7"/>
  <c r="D19" i="7"/>
  <c r="D18" i="7"/>
  <c r="D17" i="7"/>
  <c r="D15" i="7"/>
  <c r="D14" i="7"/>
  <c r="D12" i="7"/>
  <c r="D11" i="7"/>
  <c r="D9" i="7"/>
  <c r="D8" i="7"/>
  <c r="D7" i="7"/>
  <c r="D6" i="7"/>
  <c r="D2" i="7"/>
  <c r="C57" i="7"/>
  <c r="C58" i="7"/>
  <c r="C59" i="7"/>
  <c r="C60" i="7"/>
  <c r="C61" i="7"/>
  <c r="C56" i="7"/>
  <c r="C46" i="7"/>
  <c r="C47" i="7"/>
  <c r="C48" i="7"/>
  <c r="C49" i="7"/>
  <c r="C50" i="7"/>
  <c r="C51" i="7"/>
  <c r="C52" i="7"/>
  <c r="C54" i="7"/>
  <c r="C45" i="7"/>
  <c r="C37" i="7"/>
  <c r="C38" i="7"/>
  <c r="C39" i="7"/>
  <c r="C40" i="7"/>
  <c r="C41" i="7"/>
  <c r="C42" i="7"/>
  <c r="C43" i="7"/>
  <c r="C36" i="7"/>
  <c r="C33" i="7"/>
  <c r="C34" i="7"/>
  <c r="C32" i="7"/>
  <c r="C29" i="7"/>
  <c r="C30" i="7"/>
  <c r="C28" i="7"/>
  <c r="C23" i="7"/>
  <c r="C24" i="7"/>
  <c r="C25" i="7"/>
  <c r="C26" i="7"/>
  <c r="C22" i="7"/>
  <c r="C18" i="7"/>
  <c r="C19" i="7"/>
  <c r="C20" i="7"/>
  <c r="C17" i="7"/>
  <c r="C15" i="7"/>
  <c r="C14" i="7"/>
  <c r="C12" i="7"/>
  <c r="C11" i="7"/>
  <c r="C6" i="7"/>
  <c r="C7" i="7"/>
  <c r="C8" i="7"/>
  <c r="C9" i="7"/>
  <c r="F2" i="7"/>
  <c r="G2" i="7"/>
  <c r="H2" i="7"/>
  <c r="I2" i="7"/>
  <c r="J2" i="7"/>
  <c r="K2" i="7"/>
  <c r="L2" i="7"/>
  <c r="M2" i="7"/>
  <c r="N2" i="7"/>
  <c r="O2" i="7"/>
  <c r="P2" i="7"/>
  <c r="E2" i="7"/>
  <c r="C2" i="7"/>
  <c r="D130" i="6"/>
  <c r="E651" i="31"/>
  <c r="E137" i="6"/>
  <c r="F137" i="6"/>
  <c r="G137" i="6"/>
  <c r="H137" i="6"/>
  <c r="I137" i="6"/>
  <c r="J137" i="6"/>
  <c r="K137" i="6"/>
  <c r="L137" i="6"/>
  <c r="M137" i="6"/>
  <c r="N137" i="6"/>
  <c r="O137" i="6"/>
  <c r="P137" i="6"/>
  <c r="E138" i="6"/>
  <c r="F138" i="6"/>
  <c r="G138" i="6"/>
  <c r="H138" i="6"/>
  <c r="I138" i="6"/>
  <c r="J138" i="6"/>
  <c r="K138" i="6"/>
  <c r="L138" i="6"/>
  <c r="M138" i="6"/>
  <c r="N138" i="6"/>
  <c r="O138" i="6"/>
  <c r="P138" i="6"/>
  <c r="E139" i="6"/>
  <c r="F139" i="6"/>
  <c r="G139" i="6"/>
  <c r="H139" i="6"/>
  <c r="I139" i="6"/>
  <c r="J139" i="6"/>
  <c r="K139" i="6"/>
  <c r="L139" i="6"/>
  <c r="M139" i="6"/>
  <c r="N139" i="6"/>
  <c r="O139" i="6"/>
  <c r="P139" i="6"/>
  <c r="E140" i="6"/>
  <c r="F140" i="6"/>
  <c r="G140" i="6"/>
  <c r="H140" i="6"/>
  <c r="I140" i="6"/>
  <c r="J140" i="6"/>
  <c r="K140" i="6"/>
  <c r="L140" i="6"/>
  <c r="M140" i="6"/>
  <c r="N140" i="6"/>
  <c r="O140" i="6"/>
  <c r="P140" i="6"/>
  <c r="E141" i="6"/>
  <c r="F141" i="6"/>
  <c r="G141" i="6"/>
  <c r="H141" i="6"/>
  <c r="I141" i="6"/>
  <c r="J141" i="6"/>
  <c r="K141" i="6"/>
  <c r="L141" i="6"/>
  <c r="M141" i="6"/>
  <c r="N141" i="6"/>
  <c r="O141" i="6"/>
  <c r="P141" i="6"/>
  <c r="E142" i="6"/>
  <c r="F142" i="6"/>
  <c r="G142" i="6"/>
  <c r="H142" i="6"/>
  <c r="I142" i="6"/>
  <c r="J142" i="6"/>
  <c r="K142" i="6"/>
  <c r="L142" i="6"/>
  <c r="M142" i="6"/>
  <c r="N142" i="6"/>
  <c r="O142" i="6"/>
  <c r="P142" i="6"/>
  <c r="E143" i="6"/>
  <c r="F143" i="6"/>
  <c r="G143" i="6"/>
  <c r="H143" i="6"/>
  <c r="I143" i="6"/>
  <c r="J143" i="6"/>
  <c r="K143" i="6"/>
  <c r="L143" i="6"/>
  <c r="M143" i="6"/>
  <c r="N143" i="6"/>
  <c r="O143" i="6"/>
  <c r="P143" i="6"/>
  <c r="E144" i="6"/>
  <c r="F144" i="6"/>
  <c r="G144" i="6"/>
  <c r="H144" i="6"/>
  <c r="I144" i="6"/>
  <c r="J144" i="6"/>
  <c r="K144" i="6"/>
  <c r="L144" i="6"/>
  <c r="M144" i="6"/>
  <c r="N144" i="6"/>
  <c r="O144" i="6"/>
  <c r="P144" i="6"/>
  <c r="E145" i="6"/>
  <c r="F145" i="6"/>
  <c r="G145" i="6"/>
  <c r="H145" i="6"/>
  <c r="I145" i="6"/>
  <c r="J145" i="6"/>
  <c r="K145" i="6"/>
  <c r="L145" i="6"/>
  <c r="M145" i="6"/>
  <c r="N145" i="6"/>
  <c r="O145" i="6"/>
  <c r="P145" i="6"/>
  <c r="E146" i="6"/>
  <c r="F146" i="6"/>
  <c r="G146" i="6"/>
  <c r="H146" i="6"/>
  <c r="I146" i="6"/>
  <c r="J146" i="6"/>
  <c r="K146" i="6"/>
  <c r="L146" i="6"/>
  <c r="M146" i="6"/>
  <c r="N146" i="6"/>
  <c r="O146" i="6"/>
  <c r="P146" i="6"/>
  <c r="E147" i="6"/>
  <c r="F147" i="6"/>
  <c r="G147" i="6"/>
  <c r="H147" i="6"/>
  <c r="I147" i="6"/>
  <c r="J147" i="6"/>
  <c r="K147" i="6"/>
  <c r="L147" i="6"/>
  <c r="M147" i="6"/>
  <c r="N147" i="6"/>
  <c r="O147" i="6"/>
  <c r="P147" i="6"/>
  <c r="E148" i="6"/>
  <c r="F148" i="6"/>
  <c r="G148" i="6"/>
  <c r="H148" i="6"/>
  <c r="I148" i="6"/>
  <c r="J148" i="6"/>
  <c r="K148" i="6"/>
  <c r="L148" i="6"/>
  <c r="M148" i="6"/>
  <c r="N148" i="6"/>
  <c r="O148" i="6"/>
  <c r="P148" i="6"/>
  <c r="E149" i="6"/>
  <c r="F149" i="6"/>
  <c r="G149" i="6"/>
  <c r="H149" i="6"/>
  <c r="I149" i="6"/>
  <c r="J149" i="6"/>
  <c r="K149" i="6"/>
  <c r="L149" i="6"/>
  <c r="M149" i="6"/>
  <c r="N149" i="6"/>
  <c r="O149" i="6"/>
  <c r="P149" i="6"/>
  <c r="G130" i="6"/>
  <c r="H130" i="6"/>
  <c r="I130" i="6"/>
  <c r="J130" i="6"/>
  <c r="K130" i="6"/>
  <c r="L130" i="6"/>
  <c r="M130" i="6"/>
  <c r="N130" i="6"/>
  <c r="O130" i="6"/>
  <c r="P130" i="6"/>
  <c r="E130" i="6"/>
  <c r="D132" i="6"/>
  <c r="E132" i="6" s="1"/>
  <c r="D133" i="6"/>
  <c r="E133" i="6" s="1"/>
  <c r="D134" i="6"/>
  <c r="E134" i="6" s="1"/>
  <c r="D135" i="6"/>
  <c r="G135" i="6" s="1"/>
  <c r="D136" i="6"/>
  <c r="G136" i="6" s="1"/>
  <c r="D131" i="6"/>
  <c r="J131" i="6" s="1"/>
  <c r="F130" i="6"/>
  <c r="E131" i="6" l="1"/>
  <c r="I131" i="6"/>
  <c r="H131" i="6"/>
  <c r="O131" i="6"/>
  <c r="N131" i="6"/>
  <c r="M131" i="6"/>
  <c r="G131" i="6"/>
  <c r="L131" i="6"/>
  <c r="F131" i="6"/>
  <c r="K131" i="6"/>
  <c r="N134" i="6"/>
  <c r="P131" i="6"/>
  <c r="H134" i="6"/>
  <c r="L136" i="6"/>
  <c r="F136" i="6"/>
  <c r="K136" i="6"/>
  <c r="P136" i="6"/>
  <c r="I136" i="6"/>
  <c r="J136" i="6"/>
  <c r="O136" i="6"/>
  <c r="N136" i="6"/>
  <c r="H136" i="6"/>
  <c r="E136" i="6"/>
  <c r="M136" i="6"/>
  <c r="F135" i="6"/>
  <c r="L135" i="6"/>
  <c r="K135" i="6"/>
  <c r="E135" i="6"/>
  <c r="J135" i="6"/>
  <c r="I135" i="6"/>
  <c r="P135" i="6"/>
  <c r="O135" i="6"/>
  <c r="N135" i="6"/>
  <c r="H135" i="6"/>
  <c r="M135" i="6"/>
  <c r="J134" i="6"/>
  <c r="P134" i="6"/>
  <c r="O134" i="6"/>
  <c r="I134" i="6"/>
  <c r="M134" i="6"/>
  <c r="G134" i="6"/>
  <c r="L134" i="6"/>
  <c r="F134" i="6"/>
  <c r="K134" i="6"/>
  <c r="J133" i="6"/>
  <c r="H133" i="6"/>
  <c r="O133" i="6"/>
  <c r="N133" i="6"/>
  <c r="M133" i="6"/>
  <c r="G133" i="6"/>
  <c r="L133" i="6"/>
  <c r="F133" i="6"/>
  <c r="P133" i="6"/>
  <c r="I133" i="6"/>
  <c r="K133" i="6"/>
  <c r="P132" i="6"/>
  <c r="J132" i="6"/>
  <c r="O132" i="6"/>
  <c r="I132" i="6"/>
  <c r="N132" i="6"/>
  <c r="M132" i="6"/>
  <c r="G132" i="6"/>
  <c r="H132" i="6"/>
  <c r="L132" i="6"/>
  <c r="F132" i="6"/>
  <c r="K132" i="6"/>
  <c r="E723" i="31" l="1"/>
  <c r="E732" i="31" s="1"/>
  <c r="E722" i="31"/>
  <c r="E640" i="31"/>
  <c r="E642" i="31" s="1"/>
  <c r="E639" i="31"/>
  <c r="B33" i="8"/>
  <c r="P36" i="37" s="1"/>
  <c r="E5" i="8"/>
  <c r="L17" i="8"/>
  <c r="D18" i="8"/>
  <c r="I18" i="8" s="1"/>
  <c r="D20" i="8"/>
  <c r="I20" i="8" s="1"/>
  <c r="D19" i="8"/>
  <c r="I19" i="8" s="1"/>
  <c r="D21" i="8"/>
  <c r="I21" i="8"/>
  <c r="D17" i="8"/>
  <c r="I17" i="8" s="1"/>
  <c r="D22" i="8"/>
  <c r="I22" i="8" s="1"/>
  <c r="L16" i="8"/>
  <c r="D16" i="8"/>
  <c r="I16" i="8" s="1"/>
  <c r="L15" i="8"/>
  <c r="D15" i="8"/>
  <c r="I15" i="8" s="1"/>
  <c r="L14" i="8"/>
  <c r="D14" i="8"/>
  <c r="I14" i="8" s="1"/>
  <c r="L13" i="8"/>
  <c r="D13" i="8"/>
  <c r="I13" i="8" s="1"/>
  <c r="L12" i="8"/>
  <c r="D12" i="8"/>
  <c r="I12" i="8" s="1"/>
  <c r="L11" i="8"/>
  <c r="D11" i="8"/>
  <c r="I11" i="8" s="1"/>
  <c r="L10" i="8"/>
  <c r="D10" i="8"/>
  <c r="I10" i="8" s="1"/>
  <c r="L9" i="8"/>
  <c r="D9" i="8"/>
  <c r="I9" i="8" s="1"/>
  <c r="L8" i="8"/>
  <c r="D8" i="8"/>
  <c r="I8" i="8" s="1"/>
  <c r="L7" i="8"/>
  <c r="D7" i="8"/>
  <c r="I7" i="8" s="1"/>
  <c r="L6" i="8"/>
  <c r="D6" i="8"/>
  <c r="I6" i="8" s="1"/>
  <c r="L5" i="8"/>
  <c r="D5" i="8"/>
  <c r="I5" i="8" s="1"/>
  <c r="P17" i="8"/>
  <c r="P16" i="8"/>
  <c r="P15" i="8"/>
  <c r="P14" i="8"/>
  <c r="P13" i="8"/>
  <c r="P12" i="8"/>
  <c r="P11" i="8"/>
  <c r="P10" i="8"/>
  <c r="P9" i="8"/>
  <c r="P8" i="8"/>
  <c r="P7" i="8"/>
  <c r="P6" i="8"/>
  <c r="P5" i="8"/>
  <c r="M22" i="8"/>
  <c r="Y22" i="8"/>
  <c r="E22" i="8"/>
  <c r="Y21" i="8"/>
  <c r="Y20" i="8"/>
  <c r="E21" i="8"/>
  <c r="E20" i="8"/>
  <c r="Y19" i="8"/>
  <c r="E19" i="8"/>
  <c r="Y18" i="8"/>
  <c r="Y17" i="8"/>
  <c r="Y16" i="8"/>
  <c r="Y15" i="8"/>
  <c r="Y14" i="8"/>
  <c r="Y13" i="8"/>
  <c r="Y12" i="8"/>
  <c r="Y11" i="8"/>
  <c r="Y10" i="8"/>
  <c r="Y9" i="8"/>
  <c r="Y8" i="8"/>
  <c r="Y7" i="8"/>
  <c r="Y6" i="8"/>
  <c r="Y5" i="8"/>
  <c r="E18" i="8"/>
  <c r="E17" i="8"/>
  <c r="E16" i="8"/>
  <c r="E15" i="8"/>
  <c r="E14" i="8"/>
  <c r="E13" i="8"/>
  <c r="E12" i="8"/>
  <c r="E11" i="8"/>
  <c r="E10" i="8"/>
  <c r="E9" i="8"/>
  <c r="E8" i="8"/>
  <c r="E7" i="8"/>
  <c r="E6" i="8"/>
  <c r="D18" i="6"/>
  <c r="D21" i="6"/>
  <c r="D19" i="6"/>
  <c r="D22" i="6"/>
  <c r="D23" i="6"/>
  <c r="D20" i="6"/>
  <c r="D1" i="31" a="1"/>
  <c r="AD36" i="37" l="1"/>
  <c r="W36" i="37"/>
  <c r="N22" i="8"/>
  <c r="X22" i="8"/>
  <c r="X16" i="8"/>
  <c r="X10" i="8"/>
  <c r="R22" i="8"/>
  <c r="X21" i="8"/>
  <c r="N21" i="8"/>
  <c r="X20" i="8"/>
  <c r="X14" i="8"/>
  <c r="X8" i="8"/>
  <c r="R20" i="8"/>
  <c r="N20" i="8"/>
  <c r="X19" i="8"/>
  <c r="X13" i="8"/>
  <c r="X7" i="8"/>
  <c r="R19" i="8"/>
  <c r="N19" i="8"/>
  <c r="R21" i="8"/>
  <c r="X18" i="8"/>
  <c r="X12" i="8"/>
  <c r="X6" i="8"/>
  <c r="R18" i="8"/>
  <c r="N18" i="8"/>
  <c r="X9" i="8"/>
  <c r="X17" i="8"/>
  <c r="X11" i="8"/>
  <c r="X5" i="8"/>
  <c r="X15" i="8"/>
  <c r="D1" i="31"/>
  <c r="M12" i="8"/>
  <c r="N12" i="8" s="1"/>
  <c r="Q12" i="8"/>
  <c r="R12" i="8" s="1"/>
  <c r="Q10" i="8"/>
  <c r="R10" i="8" s="1"/>
  <c r="M14" i="8"/>
  <c r="N14" i="8" s="1"/>
  <c r="M16" i="8"/>
  <c r="N16" i="8" s="1"/>
  <c r="D27" i="6"/>
  <c r="D12" i="6"/>
  <c r="D8" i="6"/>
  <c r="D26" i="6"/>
  <c r="D13" i="6"/>
  <c r="D25" i="6"/>
  <c r="D24" i="6"/>
  <c r="Q5" i="8"/>
  <c r="R5" i="8" s="1"/>
  <c r="Q11" i="8"/>
  <c r="R11" i="8" s="1"/>
  <c r="Q16" i="8"/>
  <c r="R16" i="8" s="1"/>
  <c r="M9" i="8"/>
  <c r="N9" i="8" s="1"/>
  <c r="Q6" i="8"/>
  <c r="R6" i="8" s="1"/>
  <c r="M10" i="8"/>
  <c r="N10" i="8" s="1"/>
  <c r="Q7" i="8"/>
  <c r="R7" i="8" s="1"/>
  <c r="M7" i="8"/>
  <c r="N7" i="8" s="1"/>
  <c r="M8" i="8"/>
  <c r="N8" i="8" s="1"/>
  <c r="Q8" i="8"/>
  <c r="R8" i="8" s="1"/>
  <c r="Q13" i="8"/>
  <c r="R13" i="8" s="1"/>
  <c r="M5" i="8"/>
  <c r="N5" i="8" s="1"/>
  <c r="Q17" i="8"/>
  <c r="R17" i="8" s="1"/>
  <c r="Q14" i="8"/>
  <c r="R14" i="8" s="1"/>
  <c r="M6" i="8"/>
  <c r="N6" i="8" s="1"/>
  <c r="M17" i="8"/>
  <c r="N17" i="8" s="1"/>
  <c r="M15" i="8"/>
  <c r="N15" i="8" s="1"/>
  <c r="M13" i="8"/>
  <c r="N13" i="8" s="1"/>
  <c r="M11" i="8"/>
  <c r="N11" i="8" s="1"/>
  <c r="Q9" i="8"/>
  <c r="R9" i="8" s="1"/>
  <c r="Q15" i="8"/>
  <c r="R15" i="8" s="1"/>
  <c r="E725" i="31"/>
  <c r="E726" i="31"/>
  <c r="E729" i="31"/>
  <c r="E730" i="31"/>
  <c r="E727" i="31"/>
  <c r="E731" i="31"/>
  <c r="E641" i="31"/>
  <c r="E724" i="31"/>
  <c r="E728" i="31"/>
  <c r="B63" i="7"/>
  <c r="C1" i="31" l="1"/>
  <c r="B59" i="7"/>
  <c r="B8" i="7"/>
  <c r="B38" i="7"/>
  <c r="B61" i="7"/>
  <c r="B49" i="7"/>
  <c r="C137" i="6"/>
  <c r="H170" i="31"/>
  <c r="B24" i="7"/>
  <c r="B12" i="7"/>
  <c r="B14" i="7"/>
  <c r="B4" i="7"/>
  <c r="B20" i="7"/>
  <c r="C140" i="6"/>
  <c r="B25" i="7"/>
  <c r="B11" i="7"/>
  <c r="H144" i="31"/>
  <c r="B5" i="7"/>
  <c r="B29" i="7"/>
  <c r="B32" i="7"/>
  <c r="B54" i="7"/>
  <c r="B64" i="7"/>
  <c r="B45" i="7"/>
  <c r="B46" i="7"/>
  <c r="B53" i="7"/>
  <c r="C136" i="6"/>
  <c r="B39" i="7"/>
  <c r="B66" i="7"/>
  <c r="C135" i="6"/>
  <c r="C131" i="6"/>
  <c r="B56" i="7"/>
  <c r="C132" i="6"/>
  <c r="B28" i="7"/>
  <c r="B51" i="7"/>
  <c r="B43" i="7"/>
  <c r="B37" i="7"/>
  <c r="B17" i="7"/>
  <c r="B57" i="7"/>
  <c r="B60" i="7"/>
  <c r="B68" i="7"/>
  <c r="C138" i="6"/>
  <c r="C139" i="6"/>
  <c r="B67" i="7"/>
  <c r="B42" i="7"/>
  <c r="C134" i="6"/>
  <c r="B47" i="7"/>
  <c r="H216" i="31"/>
  <c r="B9" i="7"/>
  <c r="C133" i="6"/>
  <c r="H177" i="31"/>
  <c r="B36" i="7"/>
  <c r="B23" i="7"/>
  <c r="B6" i="7"/>
  <c r="B34" i="7"/>
  <c r="B41" i="7"/>
  <c r="B19" i="7"/>
  <c r="B33" i="7"/>
  <c r="B48" i="7"/>
  <c r="B7" i="7"/>
  <c r="B50" i="7"/>
  <c r="B30" i="7"/>
  <c r="B52" i="7"/>
  <c r="B22" i="7"/>
  <c r="B26" i="7"/>
  <c r="B15" i="7"/>
  <c r="H33" i="31"/>
  <c r="B58" i="7"/>
  <c r="B40" i="7"/>
  <c r="B65" i="7"/>
  <c r="B18" i="7"/>
  <c r="I7" i="36" l="1"/>
  <c r="I6" i="36"/>
  <c r="I4" i="36"/>
  <c r="B116" i="37"/>
  <c r="B106" i="37"/>
  <c r="B66" i="37"/>
  <c r="C534" i="36"/>
  <c r="C464" i="36"/>
  <c r="C184" i="36"/>
  <c r="F12" i="36" a="1"/>
  <c r="F12" i="36" s="1"/>
  <c r="I17" i="36" a="1"/>
  <c r="I17" i="36" s="1"/>
  <c r="I16" i="36" a="1"/>
  <c r="I16" i="36" s="1"/>
  <c r="I15" i="36" a="1"/>
  <c r="I15" i="36" s="1"/>
  <c r="I14" i="36" a="1"/>
  <c r="I14" i="36" s="1"/>
  <c r="I13" i="36" a="1"/>
  <c r="I13" i="36" s="1"/>
  <c r="I12" i="36" a="1"/>
  <c r="I12" i="36" s="1"/>
  <c r="F15" i="36" a="1"/>
  <c r="F15" i="36" s="1"/>
  <c r="F17" i="36" a="1"/>
  <c r="F17" i="36" s="1"/>
  <c r="F14" i="36" a="1"/>
  <c r="F14" i="36" s="1"/>
  <c r="F16" i="36" a="1"/>
  <c r="F16" i="36" s="1"/>
  <c r="F13" i="36" a="1"/>
  <c r="F13" i="36" s="1"/>
  <c r="G9" i="34"/>
  <c r="I5" i="36"/>
  <c r="H426" i="31"/>
  <c r="H4" i="31"/>
  <c r="H424" i="31"/>
  <c r="H427" i="31"/>
  <c r="H419" i="31"/>
  <c r="H50" i="31"/>
  <c r="H233" i="31"/>
  <c r="H113" i="31"/>
  <c r="H259" i="31"/>
  <c r="H400" i="31"/>
  <c r="H402" i="31"/>
  <c r="H428" i="31"/>
  <c r="H277" i="31"/>
  <c r="H291" i="31"/>
  <c r="H407" i="31"/>
  <c r="H335" i="31"/>
  <c r="H422" i="31"/>
  <c r="H250" i="31"/>
  <c r="H110" i="31"/>
  <c r="H243" i="31"/>
  <c r="H198" i="31"/>
  <c r="H260" i="31"/>
  <c r="H403" i="31"/>
  <c r="H292" i="31"/>
  <c r="H234" i="31"/>
  <c r="H199" i="31"/>
  <c r="H290" i="31"/>
  <c r="H51" i="31"/>
  <c r="H49" i="31"/>
  <c r="H418" i="31"/>
  <c r="H425" i="31"/>
  <c r="H406" i="31"/>
  <c r="H32" i="31"/>
  <c r="H421" i="31"/>
  <c r="H135" i="31"/>
  <c r="H114" i="31"/>
  <c r="H287" i="31"/>
  <c r="H336" i="31"/>
  <c r="H41" i="31"/>
  <c r="H160" i="31"/>
  <c r="H166" i="31"/>
  <c r="H401" i="31"/>
  <c r="H296" i="31"/>
  <c r="H405" i="31"/>
  <c r="H294" i="31"/>
  <c r="H54" i="31"/>
  <c r="H112" i="31"/>
  <c r="H111" i="31"/>
  <c r="H208" i="31"/>
  <c r="H404" i="31"/>
  <c r="H289" i="31"/>
  <c r="H420" i="31"/>
  <c r="H249" i="31"/>
  <c r="H52" i="31"/>
  <c r="H423" i="31"/>
  <c r="H417" i="31"/>
  <c r="H337" i="31"/>
  <c r="H288" i="31"/>
  <c r="H293" i="31"/>
  <c r="H108" i="31"/>
  <c r="H43" i="31"/>
  <c r="H332" i="31"/>
  <c r="H242" i="31"/>
  <c r="H273" i="31"/>
  <c r="H109" i="31"/>
  <c r="H429" i="31"/>
  <c r="H297" i="31"/>
  <c r="H55" i="31"/>
  <c r="G33" i="8" l="1"/>
  <c r="H5" i="37"/>
  <c r="H19" i="37"/>
  <c r="A36" i="37"/>
  <c r="B56" i="37"/>
  <c r="C114" i="36"/>
  <c r="K10" i="39"/>
  <c r="C10" i="39"/>
  <c r="I10" i="39"/>
  <c r="A10" i="39"/>
  <c r="O10" i="39"/>
  <c r="G10" i="39"/>
  <c r="M10" i="39"/>
  <c r="E10" i="39"/>
  <c r="D66" i="37"/>
  <c r="F184" i="36"/>
  <c r="B99" i="37"/>
  <c r="C415" i="36"/>
  <c r="B90" i="37"/>
  <c r="C352" i="36"/>
  <c r="D116" i="37"/>
  <c r="D117" i="37"/>
  <c r="D106" i="37"/>
  <c r="D107" i="37"/>
  <c r="D99" i="37"/>
  <c r="D100" i="37"/>
  <c r="D90" i="37"/>
  <c r="D91" i="37"/>
  <c r="D56" i="37"/>
  <c r="D57" i="37"/>
  <c r="I546" i="36"/>
  <c r="I547" i="36"/>
  <c r="I543" i="36"/>
  <c r="I542" i="36"/>
  <c r="I545" i="36"/>
  <c r="I544" i="36"/>
  <c r="I541" i="36"/>
  <c r="I534" i="36"/>
  <c r="I539" i="36"/>
  <c r="I540" i="36"/>
  <c r="I536" i="36"/>
  <c r="I535" i="36"/>
  <c r="I538" i="36"/>
  <c r="I537" i="36"/>
  <c r="I527" i="36"/>
  <c r="F541" i="36"/>
  <c r="F534" i="36"/>
  <c r="I476" i="36"/>
  <c r="I477" i="36"/>
  <c r="I473" i="36"/>
  <c r="I472" i="36"/>
  <c r="I475" i="36"/>
  <c r="I474" i="36"/>
  <c r="I471" i="36"/>
  <c r="I469" i="36"/>
  <c r="I470" i="36"/>
  <c r="I466" i="36"/>
  <c r="I465" i="36"/>
  <c r="I468" i="36"/>
  <c r="I467" i="36"/>
  <c r="I464" i="36"/>
  <c r="I457" i="36"/>
  <c r="F471" i="36"/>
  <c r="F464" i="36"/>
  <c r="I427" i="36"/>
  <c r="I428" i="36"/>
  <c r="I424" i="36"/>
  <c r="I423" i="36"/>
  <c r="I426" i="36"/>
  <c r="I425" i="36"/>
  <c r="I422" i="36"/>
  <c r="I420" i="36"/>
  <c r="I421" i="36"/>
  <c r="I417" i="36"/>
  <c r="I416" i="36"/>
  <c r="I419" i="36"/>
  <c r="I418" i="36"/>
  <c r="I415" i="36"/>
  <c r="I408" i="36"/>
  <c r="F422" i="36"/>
  <c r="F415" i="36"/>
  <c r="I364" i="36"/>
  <c r="I365" i="36"/>
  <c r="I361" i="36"/>
  <c r="I360" i="36"/>
  <c r="I363" i="36"/>
  <c r="I362" i="36"/>
  <c r="I359" i="36"/>
  <c r="I357" i="36"/>
  <c r="I358" i="36"/>
  <c r="I354" i="36"/>
  <c r="I353" i="36"/>
  <c r="I356" i="36"/>
  <c r="I355" i="36"/>
  <c r="I352" i="36"/>
  <c r="I345" i="36"/>
  <c r="F359" i="36"/>
  <c r="F352" i="36"/>
  <c r="I189" i="36"/>
  <c r="I190" i="36"/>
  <c r="I186" i="36"/>
  <c r="I185" i="36"/>
  <c r="I188" i="36"/>
  <c r="I187" i="36"/>
  <c r="I184" i="36"/>
  <c r="I177" i="36"/>
  <c r="I126" i="36"/>
  <c r="I127" i="36"/>
  <c r="I123" i="36"/>
  <c r="I122" i="36"/>
  <c r="I125" i="36"/>
  <c r="I124" i="36"/>
  <c r="I121" i="36"/>
  <c r="I119" i="36"/>
  <c r="I120" i="36"/>
  <c r="I116" i="36"/>
  <c r="I115" i="36"/>
  <c r="I118" i="36"/>
  <c r="I117" i="36"/>
  <c r="I114" i="36"/>
  <c r="I107" i="36"/>
  <c r="F121" i="36"/>
  <c r="F114" i="36"/>
  <c r="H3" i="37"/>
  <c r="H17" i="37"/>
  <c r="I3" i="36"/>
  <c r="F35" i="8"/>
  <c r="G34" i="8"/>
  <c r="F34" i="8"/>
  <c r="I8" i="38"/>
  <c r="AS7" i="39" s="1"/>
  <c r="G32" i="8"/>
  <c r="H8" i="38"/>
  <c r="AR7" i="39" s="1"/>
  <c r="H34" i="37"/>
  <c r="F31" i="8"/>
  <c r="F33" i="8"/>
  <c r="H30" i="8"/>
  <c r="G8" i="34"/>
  <c r="A8" i="38"/>
  <c r="W35" i="37"/>
  <c r="V19" i="37"/>
  <c r="U5" i="37"/>
  <c r="W19" i="37"/>
  <c r="AD35" i="37"/>
  <c r="AC19" i="37"/>
  <c r="AB5" i="37"/>
  <c r="Z5" i="37"/>
  <c r="Y35" i="37"/>
  <c r="X19" i="37"/>
  <c r="S5" i="37"/>
  <c r="AD5" i="37"/>
  <c r="V42" i="37"/>
  <c r="S35" i="37"/>
  <c r="R19" i="37"/>
  <c r="Q5" i="37"/>
  <c r="V5" i="37"/>
  <c r="Z35" i="37"/>
  <c r="Y19" i="37"/>
  <c r="X5" i="37"/>
  <c r="T42" i="37"/>
  <c r="U35" i="37"/>
  <c r="T19" i="37"/>
  <c r="S42" i="37"/>
  <c r="R5" i="37"/>
  <c r="AA35" i="37"/>
  <c r="Z19" i="37"/>
  <c r="Y5" i="37"/>
  <c r="T35" i="37"/>
  <c r="Q42" i="37"/>
  <c r="R35" i="37"/>
  <c r="Q19" i="37"/>
  <c r="AA19" i="37"/>
  <c r="AC35" i="37"/>
  <c r="AB19" i="37"/>
  <c r="W5" i="37"/>
  <c r="S19" i="37"/>
  <c r="R42" i="37"/>
  <c r="AD19" i="37"/>
  <c r="AC5" i="37"/>
  <c r="AB35" i="37"/>
  <c r="U42" i="37"/>
  <c r="V35" i="37"/>
  <c r="U19" i="37"/>
  <c r="T5" i="37"/>
  <c r="P42" i="37"/>
  <c r="Q35" i="37"/>
  <c r="AA5" i="37"/>
  <c r="X35" i="37"/>
  <c r="A25" i="35"/>
  <c r="D35" i="37"/>
  <c r="B32" i="38"/>
  <c r="A3" i="38"/>
  <c r="A3" i="39"/>
  <c r="G35" i="8"/>
  <c r="G31" i="8"/>
  <c r="H33" i="37"/>
  <c r="F32" i="8"/>
  <c r="G8" i="38"/>
  <c r="AQ7" i="39" s="1"/>
  <c r="F30" i="8"/>
  <c r="F29" i="8"/>
  <c r="B27" i="8"/>
  <c r="B26" i="8"/>
  <c r="B25" i="8"/>
  <c r="B24" i="8"/>
  <c r="A27" i="8"/>
  <c r="A26" i="8"/>
  <c r="A25" i="8"/>
  <c r="A24" i="8"/>
  <c r="C29" i="37"/>
  <c r="AD29" i="37" s="1"/>
  <c r="B29" i="37"/>
  <c r="W29" i="37" s="1"/>
  <c r="M34" i="37"/>
  <c r="T18" i="37"/>
  <c r="AA4" i="37"/>
  <c r="M18" i="37"/>
  <c r="K41" i="37"/>
  <c r="T34" i="37"/>
  <c r="AA18" i="37"/>
  <c r="S41" i="37"/>
  <c r="AA34" i="37"/>
  <c r="M4" i="37"/>
  <c r="T4" i="37"/>
  <c r="U41" i="37"/>
  <c r="AC34" i="37"/>
  <c r="O4" i="37"/>
  <c r="O18" i="37"/>
  <c r="V4" i="37"/>
  <c r="M41" i="37"/>
  <c r="AC18" i="37"/>
  <c r="O34" i="37"/>
  <c r="V18" i="37"/>
  <c r="AC4" i="37"/>
  <c r="V34" i="37"/>
  <c r="H41" i="37"/>
  <c r="Q34" i="37"/>
  <c r="X18" i="37"/>
  <c r="P41" i="37"/>
  <c r="X34" i="37"/>
  <c r="J4" i="37"/>
  <c r="Q18" i="37"/>
  <c r="X4" i="37"/>
  <c r="J18" i="37"/>
  <c r="Q4" i="37"/>
  <c r="J34" i="37"/>
  <c r="L18" i="37"/>
  <c r="S4" i="37"/>
  <c r="R41" i="37"/>
  <c r="Z34" i="37"/>
  <c r="L34" i="37"/>
  <c r="S18" i="37"/>
  <c r="Z4" i="37"/>
  <c r="L4" i="37"/>
  <c r="J41" i="37"/>
  <c r="S34" i="37"/>
  <c r="Z18" i="37"/>
  <c r="Q41" i="37"/>
  <c r="Y34" i="37"/>
  <c r="K4" i="37"/>
  <c r="R34" i="37"/>
  <c r="Y18" i="37"/>
  <c r="K18" i="37"/>
  <c r="R4" i="37"/>
  <c r="I41" i="37"/>
  <c r="K34" i="37"/>
  <c r="R18" i="37"/>
  <c r="Y4" i="37"/>
  <c r="L41" i="37"/>
  <c r="U34" i="37"/>
  <c r="AB18" i="37"/>
  <c r="N34" i="37"/>
  <c r="AB4" i="37"/>
  <c r="T41" i="37"/>
  <c r="AB34" i="37"/>
  <c r="N4" i="37"/>
  <c r="N18" i="37"/>
  <c r="U4" i="37"/>
  <c r="U18" i="37"/>
  <c r="P18" i="37"/>
  <c r="W4" i="37"/>
  <c r="P4" i="37"/>
  <c r="P34" i="37"/>
  <c r="W18" i="37"/>
  <c r="AD4" i="37"/>
  <c r="V41" i="37"/>
  <c r="AD34" i="37"/>
  <c r="N41" i="37"/>
  <c r="W34" i="37"/>
  <c r="AD18" i="37"/>
  <c r="I599" i="36"/>
  <c r="I571" i="36"/>
  <c r="I529" i="36"/>
  <c r="I501" i="36"/>
  <c r="I459" i="36"/>
  <c r="I431" i="36"/>
  <c r="I389" i="36"/>
  <c r="I347" i="36"/>
  <c r="I319" i="36"/>
  <c r="I291" i="36"/>
  <c r="I263" i="36"/>
  <c r="I235" i="36"/>
  <c r="I578" i="36"/>
  <c r="I550" i="36"/>
  <c r="I508" i="36"/>
  <c r="I480" i="36"/>
  <c r="I438" i="36"/>
  <c r="I396" i="36"/>
  <c r="I368" i="36"/>
  <c r="I326" i="36"/>
  <c r="I298" i="36"/>
  <c r="I585" i="36"/>
  <c r="I557" i="36"/>
  <c r="I515" i="36"/>
  <c r="I487" i="36"/>
  <c r="I445" i="36"/>
  <c r="I403" i="36"/>
  <c r="I375" i="36"/>
  <c r="I333" i="36"/>
  <c r="I305" i="36"/>
  <c r="I277" i="36"/>
  <c r="I249" i="36"/>
  <c r="I221" i="36"/>
  <c r="I522" i="36"/>
  <c r="I382" i="36"/>
  <c r="I242" i="36"/>
  <c r="I193" i="36"/>
  <c r="I158" i="36"/>
  <c r="I130" i="36"/>
  <c r="I88" i="36"/>
  <c r="I60" i="36"/>
  <c r="I32" i="36"/>
  <c r="I564" i="36"/>
  <c r="I410" i="36"/>
  <c r="I284" i="36"/>
  <c r="I256" i="36"/>
  <c r="I200" i="36"/>
  <c r="I165" i="36"/>
  <c r="I137" i="36"/>
  <c r="I95" i="36"/>
  <c r="I67" i="36"/>
  <c r="I39" i="36"/>
  <c r="I494" i="36"/>
  <c r="I340" i="36"/>
  <c r="I228" i="36"/>
  <c r="I592" i="36"/>
  <c r="I452" i="36"/>
  <c r="I312" i="36"/>
  <c r="I270" i="36"/>
  <c r="I214" i="36"/>
  <c r="I207" i="36"/>
  <c r="I172" i="36"/>
  <c r="I144" i="36"/>
  <c r="I102" i="36"/>
  <c r="I74" i="36"/>
  <c r="I46" i="36"/>
  <c r="I109" i="36"/>
  <c r="I151" i="36"/>
  <c r="I25" i="36"/>
  <c r="I179" i="36"/>
  <c r="I53" i="36"/>
  <c r="I81" i="36"/>
  <c r="I595" i="36"/>
  <c r="I567" i="36"/>
  <c r="I525" i="36"/>
  <c r="I497" i="36"/>
  <c r="I455" i="36"/>
  <c r="I413" i="36"/>
  <c r="I385" i="36"/>
  <c r="I343" i="36"/>
  <c r="I315" i="36"/>
  <c r="I287" i="36"/>
  <c r="I259" i="36"/>
  <c r="I231" i="36"/>
  <c r="I602" i="36"/>
  <c r="I574" i="36"/>
  <c r="I532" i="36"/>
  <c r="I504" i="36"/>
  <c r="I462" i="36"/>
  <c r="I434" i="36"/>
  <c r="I392" i="36"/>
  <c r="I350" i="36"/>
  <c r="I322" i="36"/>
  <c r="I294" i="36"/>
  <c r="I581" i="36"/>
  <c r="I553" i="36"/>
  <c r="I511" i="36"/>
  <c r="I483" i="36"/>
  <c r="I441" i="36"/>
  <c r="I399" i="36"/>
  <c r="I371" i="36"/>
  <c r="I329" i="36"/>
  <c r="I301" i="36"/>
  <c r="I273" i="36"/>
  <c r="I245" i="36"/>
  <c r="I217" i="36"/>
  <c r="I490" i="36"/>
  <c r="I336" i="36"/>
  <c r="I266" i="36"/>
  <c r="I210" i="36"/>
  <c r="I182" i="36"/>
  <c r="I154" i="36"/>
  <c r="I112" i="36"/>
  <c r="I84" i="36"/>
  <c r="I56" i="36"/>
  <c r="I28" i="36"/>
  <c r="I518" i="36"/>
  <c r="I378" i="36"/>
  <c r="I224" i="36"/>
  <c r="I196" i="36"/>
  <c r="I161" i="36"/>
  <c r="I133" i="36"/>
  <c r="I91" i="36"/>
  <c r="I63" i="36"/>
  <c r="I35" i="36"/>
  <c r="I448" i="36"/>
  <c r="I308" i="36"/>
  <c r="I252" i="36"/>
  <c r="I560" i="36"/>
  <c r="I406" i="36"/>
  <c r="I280" i="36"/>
  <c r="I238" i="36"/>
  <c r="I203" i="36"/>
  <c r="I168" i="36"/>
  <c r="I140" i="36"/>
  <c r="I98" i="36"/>
  <c r="I70" i="36"/>
  <c r="I42" i="36"/>
  <c r="I588" i="36"/>
  <c r="I175" i="36"/>
  <c r="I77" i="36"/>
  <c r="I105" i="36"/>
  <c r="I147" i="36"/>
  <c r="I49" i="36"/>
  <c r="I587" i="36"/>
  <c r="I559" i="36"/>
  <c r="I517" i="36"/>
  <c r="I489" i="36"/>
  <c r="I447" i="36"/>
  <c r="I405" i="36"/>
  <c r="I377" i="36"/>
  <c r="I335" i="36"/>
  <c r="I307" i="36"/>
  <c r="I279" i="36"/>
  <c r="I251" i="36"/>
  <c r="I223" i="36"/>
  <c r="I594" i="36"/>
  <c r="I566" i="36"/>
  <c r="I524" i="36"/>
  <c r="I496" i="36"/>
  <c r="I454" i="36"/>
  <c r="I412" i="36"/>
  <c r="I384" i="36"/>
  <c r="I342" i="36"/>
  <c r="I314" i="36"/>
  <c r="I286" i="36"/>
  <c r="I601" i="36"/>
  <c r="I573" i="36"/>
  <c r="I531" i="36"/>
  <c r="I503" i="36"/>
  <c r="I461" i="36"/>
  <c r="I433" i="36"/>
  <c r="I391" i="36"/>
  <c r="I349" i="36"/>
  <c r="I321" i="36"/>
  <c r="I293" i="36"/>
  <c r="I265" i="36"/>
  <c r="I237" i="36"/>
  <c r="I209" i="36"/>
  <c r="I552" i="36"/>
  <c r="I398" i="36"/>
  <c r="I258" i="36"/>
  <c r="I174" i="36"/>
  <c r="I146" i="36"/>
  <c r="I104" i="36"/>
  <c r="I76" i="36"/>
  <c r="I48" i="36"/>
  <c r="I244" i="36"/>
  <c r="I580" i="36"/>
  <c r="I440" i="36"/>
  <c r="I300" i="36"/>
  <c r="I272" i="36"/>
  <c r="I216" i="36"/>
  <c r="I181" i="36"/>
  <c r="I153" i="36"/>
  <c r="I111" i="36"/>
  <c r="I83" i="36"/>
  <c r="I55" i="36"/>
  <c r="I27" i="36"/>
  <c r="I510" i="36"/>
  <c r="I370" i="36"/>
  <c r="I482" i="36"/>
  <c r="I328" i="36"/>
  <c r="I230" i="36"/>
  <c r="I195" i="36"/>
  <c r="I160" i="36"/>
  <c r="I132" i="36"/>
  <c r="I90" i="36"/>
  <c r="I62" i="36"/>
  <c r="I34" i="36"/>
  <c r="I97" i="36"/>
  <c r="I139" i="36"/>
  <c r="I167" i="36"/>
  <c r="I41" i="36"/>
  <c r="I202" i="36"/>
  <c r="I69" i="36"/>
  <c r="I583" i="36"/>
  <c r="I555" i="36"/>
  <c r="I513" i="36"/>
  <c r="I485" i="36"/>
  <c r="I443" i="36"/>
  <c r="I401" i="36"/>
  <c r="I373" i="36"/>
  <c r="I331" i="36"/>
  <c r="I303" i="36"/>
  <c r="I275" i="36"/>
  <c r="I247" i="36"/>
  <c r="I219" i="36"/>
  <c r="I590" i="36"/>
  <c r="I562" i="36"/>
  <c r="I520" i="36"/>
  <c r="I492" i="36"/>
  <c r="I450" i="36"/>
  <c r="I380" i="36"/>
  <c r="I338" i="36"/>
  <c r="I310" i="36"/>
  <c r="I282" i="36"/>
  <c r="I597" i="36"/>
  <c r="I569" i="36"/>
  <c r="I499" i="36"/>
  <c r="I429" i="36"/>
  <c r="I387" i="36"/>
  <c r="I317" i="36"/>
  <c r="I289" i="36"/>
  <c r="I261" i="36"/>
  <c r="I233" i="36"/>
  <c r="I506" i="36"/>
  <c r="I366" i="36"/>
  <c r="I226" i="36"/>
  <c r="I205" i="36"/>
  <c r="I170" i="36"/>
  <c r="I142" i="36"/>
  <c r="I100" i="36"/>
  <c r="I72" i="36"/>
  <c r="I44" i="36"/>
  <c r="I212" i="36"/>
  <c r="I548" i="36"/>
  <c r="I394" i="36"/>
  <c r="I240" i="36"/>
  <c r="I149" i="36"/>
  <c r="I79" i="36"/>
  <c r="I51" i="36"/>
  <c r="I23" i="36"/>
  <c r="I478" i="36"/>
  <c r="I324" i="36"/>
  <c r="I576" i="36"/>
  <c r="I436" i="36"/>
  <c r="I296" i="36"/>
  <c r="I254" i="36"/>
  <c r="I191" i="36"/>
  <c r="I156" i="36"/>
  <c r="I128" i="36"/>
  <c r="I86" i="36"/>
  <c r="I58" i="36"/>
  <c r="I30" i="36"/>
  <c r="I268" i="36"/>
  <c r="I93" i="36"/>
  <c r="I135" i="36"/>
  <c r="I163" i="36"/>
  <c r="I37" i="36"/>
  <c r="I198" i="36"/>
  <c r="I65" i="36"/>
  <c r="I579" i="36"/>
  <c r="I551" i="36"/>
  <c r="I509" i="36"/>
  <c r="I481" i="36"/>
  <c r="I439" i="36"/>
  <c r="I397" i="36"/>
  <c r="I369" i="36"/>
  <c r="I327" i="36"/>
  <c r="I299" i="36"/>
  <c r="I271" i="36"/>
  <c r="I243" i="36"/>
  <c r="I215" i="36"/>
  <c r="I586" i="36"/>
  <c r="I558" i="36"/>
  <c r="I516" i="36"/>
  <c r="I488" i="36"/>
  <c r="I446" i="36"/>
  <c r="I404" i="36"/>
  <c r="I376" i="36"/>
  <c r="I334" i="36"/>
  <c r="I306" i="36"/>
  <c r="I278" i="36"/>
  <c r="I593" i="36"/>
  <c r="I565" i="36"/>
  <c r="I523" i="36"/>
  <c r="I495" i="36"/>
  <c r="I453" i="36"/>
  <c r="I411" i="36"/>
  <c r="I383" i="36"/>
  <c r="I341" i="36"/>
  <c r="I313" i="36"/>
  <c r="I285" i="36"/>
  <c r="I257" i="36"/>
  <c r="I229" i="36"/>
  <c r="I600" i="36"/>
  <c r="I460" i="36"/>
  <c r="I320" i="36"/>
  <c r="I250" i="36"/>
  <c r="I201" i="36"/>
  <c r="I166" i="36"/>
  <c r="I138" i="36"/>
  <c r="I96" i="36"/>
  <c r="I68" i="36"/>
  <c r="I40" i="36"/>
  <c r="I292" i="36"/>
  <c r="I502" i="36"/>
  <c r="I348" i="36"/>
  <c r="I264" i="36"/>
  <c r="I208" i="36"/>
  <c r="I173" i="36"/>
  <c r="I145" i="36"/>
  <c r="I103" i="36"/>
  <c r="I75" i="36"/>
  <c r="I47" i="36"/>
  <c r="I572" i="36"/>
  <c r="I432" i="36"/>
  <c r="I530" i="36"/>
  <c r="I390" i="36"/>
  <c r="I222" i="36"/>
  <c r="I180" i="36"/>
  <c r="I152" i="36"/>
  <c r="I110" i="36"/>
  <c r="I82" i="36"/>
  <c r="I54" i="36"/>
  <c r="I26" i="36"/>
  <c r="I236" i="36"/>
  <c r="I33" i="36"/>
  <c r="I194" i="36"/>
  <c r="I61" i="36"/>
  <c r="I89" i="36"/>
  <c r="I131" i="36"/>
  <c r="I159" i="36"/>
  <c r="I591" i="36"/>
  <c r="I563" i="36"/>
  <c r="I521" i="36"/>
  <c r="I493" i="36"/>
  <c r="I451" i="36"/>
  <c r="I409" i="36"/>
  <c r="I381" i="36"/>
  <c r="I339" i="36"/>
  <c r="I311" i="36"/>
  <c r="I283" i="36"/>
  <c r="I255" i="36"/>
  <c r="I227" i="36"/>
  <c r="I598" i="36"/>
  <c r="I570" i="36"/>
  <c r="I528" i="36"/>
  <c r="I500" i="36"/>
  <c r="I458" i="36"/>
  <c r="I430" i="36"/>
  <c r="I388" i="36"/>
  <c r="I346" i="36"/>
  <c r="I318" i="36"/>
  <c r="I290" i="36"/>
  <c r="I577" i="36"/>
  <c r="I549" i="36"/>
  <c r="I507" i="36"/>
  <c r="I479" i="36"/>
  <c r="I437" i="36"/>
  <c r="I395" i="36"/>
  <c r="I367" i="36"/>
  <c r="I325" i="36"/>
  <c r="I297" i="36"/>
  <c r="I269" i="36"/>
  <c r="I241" i="36"/>
  <c r="I213" i="36"/>
  <c r="I584" i="36"/>
  <c r="I444" i="36"/>
  <c r="I304" i="36"/>
  <c r="I234" i="36"/>
  <c r="I178" i="36"/>
  <c r="I150" i="36"/>
  <c r="I108" i="36"/>
  <c r="I80" i="36"/>
  <c r="I52" i="36"/>
  <c r="I24" i="36"/>
  <c r="I556" i="36"/>
  <c r="I486" i="36"/>
  <c r="I332" i="36"/>
  <c r="I248" i="36"/>
  <c r="I192" i="36"/>
  <c r="I157" i="36"/>
  <c r="I129" i="36"/>
  <c r="I87" i="36"/>
  <c r="I59" i="36"/>
  <c r="I31" i="36"/>
  <c r="I402" i="36"/>
  <c r="I276" i="36"/>
  <c r="I220" i="36"/>
  <c r="I514" i="36"/>
  <c r="I374" i="36"/>
  <c r="I262" i="36"/>
  <c r="I199" i="36"/>
  <c r="I164" i="36"/>
  <c r="I136" i="36"/>
  <c r="I94" i="36"/>
  <c r="I66" i="36"/>
  <c r="I38" i="36"/>
  <c r="I206" i="36"/>
  <c r="I171" i="36"/>
  <c r="I45" i="36"/>
  <c r="I73" i="36"/>
  <c r="I101" i="36"/>
  <c r="I143" i="36"/>
  <c r="I603" i="36"/>
  <c r="I575" i="36"/>
  <c r="I533" i="36"/>
  <c r="I505" i="36"/>
  <c r="I463" i="36"/>
  <c r="I435" i="36"/>
  <c r="I393" i="36"/>
  <c r="I351" i="36"/>
  <c r="I323" i="36"/>
  <c r="I295" i="36"/>
  <c r="I267" i="36"/>
  <c r="I239" i="36"/>
  <c r="I211" i="36"/>
  <c r="I582" i="36"/>
  <c r="I554" i="36"/>
  <c r="I512" i="36"/>
  <c r="I484" i="36"/>
  <c r="I442" i="36"/>
  <c r="I400" i="36"/>
  <c r="I372" i="36"/>
  <c r="I330" i="36"/>
  <c r="I302" i="36"/>
  <c r="I589" i="36"/>
  <c r="I561" i="36"/>
  <c r="I519" i="36"/>
  <c r="I491" i="36"/>
  <c r="I449" i="36"/>
  <c r="I407" i="36"/>
  <c r="I379" i="36"/>
  <c r="I337" i="36"/>
  <c r="I309" i="36"/>
  <c r="I281" i="36"/>
  <c r="I253" i="36"/>
  <c r="I225" i="36"/>
  <c r="I568" i="36"/>
  <c r="I414" i="36"/>
  <c r="I288" i="36"/>
  <c r="I274" i="36"/>
  <c r="I218" i="36"/>
  <c r="I197" i="36"/>
  <c r="I162" i="36"/>
  <c r="I134" i="36"/>
  <c r="I92" i="36"/>
  <c r="I64" i="36"/>
  <c r="I36" i="36"/>
  <c r="I596" i="36"/>
  <c r="I456" i="36"/>
  <c r="I316" i="36"/>
  <c r="I232" i="36"/>
  <c r="I204" i="36"/>
  <c r="I169" i="36"/>
  <c r="I141" i="36"/>
  <c r="I99" i="36"/>
  <c r="I71" i="36"/>
  <c r="I43" i="36"/>
  <c r="I526" i="36"/>
  <c r="I386" i="36"/>
  <c r="I260" i="36"/>
  <c r="I498" i="36"/>
  <c r="I344" i="36"/>
  <c r="I246" i="36"/>
  <c r="I176" i="36"/>
  <c r="I148" i="36"/>
  <c r="I106" i="36"/>
  <c r="I78" i="36"/>
  <c r="I50" i="36"/>
  <c r="I155" i="36"/>
  <c r="I29" i="36"/>
  <c r="I183" i="36"/>
  <c r="I57" i="36"/>
  <c r="I85" i="36"/>
  <c r="I113" i="36"/>
  <c r="A31" i="38"/>
  <c r="J8" i="38"/>
  <c r="AT7" i="39" s="1"/>
  <c r="B4" i="36"/>
  <c r="AB29" i="37" l="1"/>
  <c r="AC29" i="37"/>
  <c r="Z29" i="37"/>
  <c r="AA29" i="37"/>
  <c r="X29" i="37"/>
  <c r="Y29" i="37"/>
  <c r="U29" i="37"/>
  <c r="V29" i="37"/>
  <c r="S29" i="37"/>
  <c r="T29" i="37"/>
  <c r="Q29" i="37"/>
  <c r="R29" i="37"/>
  <c r="AN11" i="39"/>
  <c r="F15" i="38"/>
  <c r="F14" i="38" l="1"/>
  <c r="F13" i="38" s="1"/>
  <c r="AP11" i="39"/>
  <c r="AU11" i="39" s="1" a="1"/>
  <c r="AU11" i="39" s="1"/>
  <c r="H119" i="6" l="1"/>
  <c r="H122" i="6"/>
  <c r="H116" i="6"/>
  <c r="H117" i="6"/>
  <c r="H120" i="6"/>
  <c r="H118" i="6"/>
  <c r="K8" i="39" l="1"/>
  <c r="M8" i="39"/>
  <c r="O8" i="39"/>
  <c r="I8" i="39"/>
  <c r="H274" i="31"/>
  <c r="H392" i="31"/>
  <c r="H318" i="31"/>
  <c r="H513" i="31"/>
  <c r="H9" i="31"/>
  <c r="H612" i="31"/>
  <c r="H515" i="31"/>
  <c r="H725" i="31"/>
  <c r="H455" i="31"/>
  <c r="H14" i="31"/>
  <c r="H15" i="31"/>
  <c r="H158" i="31"/>
  <c r="H348" i="31"/>
  <c r="H504" i="31"/>
  <c r="H48" i="31"/>
  <c r="H118" i="31"/>
  <c r="H53" i="31"/>
  <c r="H201" i="31"/>
  <c r="H446" i="31"/>
  <c r="H139" i="31"/>
  <c r="H368" i="31"/>
  <c r="H238" i="31"/>
  <c r="H717" i="31"/>
  <c r="H167" i="31"/>
  <c r="H28" i="31"/>
  <c r="H366" i="31"/>
  <c r="H710" i="31"/>
  <c r="H709" i="31"/>
  <c r="H301" i="31"/>
  <c r="H178" i="31"/>
  <c r="H697" i="31"/>
  <c r="H358" i="31"/>
  <c r="H148" i="31"/>
  <c r="H618" i="31"/>
  <c r="H568" i="31"/>
  <c r="H189" i="31"/>
  <c r="H285" i="31"/>
  <c r="H656" i="31"/>
  <c r="H594" i="31"/>
  <c r="H79" i="31"/>
  <c r="H381" i="31"/>
  <c r="H629" i="31"/>
  <c r="H694" i="31"/>
  <c r="H257" i="31"/>
  <c r="H558" i="31"/>
  <c r="H493" i="31"/>
  <c r="H162" i="31"/>
  <c r="H606" i="31"/>
  <c r="H342" i="31"/>
  <c r="H391" i="31"/>
  <c r="H652" i="31"/>
  <c r="H651" i="31"/>
  <c r="H494" i="31"/>
  <c r="H371" i="31"/>
  <c r="H388" i="31"/>
  <c r="H607" i="31"/>
  <c r="H466" i="31"/>
  <c r="H46" i="31"/>
  <c r="H490" i="31"/>
  <c r="H231" i="31"/>
  <c r="H299" i="31"/>
  <c r="H153" i="31"/>
  <c r="H457" i="31"/>
  <c r="H78" i="31"/>
  <c r="H339" i="31"/>
  <c r="H365" i="31"/>
  <c r="H11" i="31"/>
  <c r="H354" i="31"/>
  <c r="H608" i="31"/>
  <c r="H409" i="31"/>
  <c r="H254" i="31"/>
  <c r="H124" i="31"/>
  <c r="H521" i="31"/>
  <c r="H544" i="31"/>
  <c r="H452" i="31"/>
  <c r="H90" i="31"/>
  <c r="H74" i="31"/>
  <c r="H563" i="31"/>
  <c r="H582" i="31"/>
  <c r="H165" i="31"/>
  <c r="H639" i="31"/>
  <c r="H601" i="31"/>
  <c r="H8" i="31"/>
  <c r="H430" i="31"/>
  <c r="H473" i="31"/>
  <c r="H714" i="31"/>
  <c r="H236" i="31"/>
  <c r="H155" i="31"/>
  <c r="H690" i="31"/>
  <c r="H255" i="31"/>
  <c r="H45" i="31"/>
  <c r="H73" i="31"/>
  <c r="H396" i="31"/>
  <c r="H330" i="31"/>
  <c r="H499" i="31"/>
  <c r="H225" i="31"/>
  <c r="H660" i="31"/>
  <c r="H194" i="31"/>
  <c r="H580" i="31"/>
  <c r="H219" i="31"/>
  <c r="H684" i="31"/>
  <c r="H107" i="31"/>
  <c r="H565" i="31"/>
  <c r="H623" i="31"/>
  <c r="H376" i="31"/>
  <c r="H35" i="31"/>
  <c r="H472" i="31"/>
  <c r="H156" i="31"/>
  <c r="H313" i="31"/>
  <c r="H115" i="31"/>
  <c r="H320" i="31"/>
  <c r="H516" i="31"/>
  <c r="H226" i="31"/>
  <c r="H314" i="31"/>
  <c r="H357" i="31"/>
  <c r="H498" i="31"/>
  <c r="H218" i="31"/>
  <c r="H621" i="31"/>
  <c r="H699" i="31"/>
  <c r="H176" i="31"/>
  <c r="H524" i="31"/>
  <c r="H202" i="31"/>
  <c r="H36" i="31"/>
  <c r="H345" i="31"/>
  <c r="H721" i="31"/>
  <c r="H397" i="31"/>
  <c r="H85" i="31"/>
  <c r="H603" i="31"/>
  <c r="H183" i="31"/>
  <c r="H525" i="31"/>
  <c r="H561" i="31"/>
  <c r="H307" i="31"/>
  <c r="H471" i="31"/>
  <c r="H523" i="31"/>
  <c r="H253" i="31"/>
  <c r="H645" i="31"/>
  <c r="H617" i="31"/>
  <c r="H58" i="31"/>
  <c r="H559" i="31"/>
  <c r="H137" i="31"/>
  <c r="H451" i="31"/>
  <c r="H305" i="31"/>
  <c r="H514" i="31"/>
  <c r="H706" i="31"/>
  <c r="H248" i="31"/>
  <c r="H42" i="31"/>
  <c r="H390" i="31"/>
  <c r="H477" i="31"/>
  <c r="H117" i="31"/>
  <c r="H640" i="31"/>
  <c r="H56" i="31"/>
  <c r="H174" i="31"/>
  <c r="H209" i="31"/>
  <c r="H211" i="31"/>
  <c r="H632" i="31"/>
  <c r="H123" i="31"/>
  <c r="H500" i="31"/>
  <c r="H469" i="31"/>
  <c r="H413" i="31"/>
  <c r="H92" i="31"/>
  <c r="H566" i="31"/>
  <c r="H550" i="31"/>
  <c r="H581" i="31"/>
  <c r="H95" i="31"/>
  <c r="H394" i="31"/>
  <c r="H435" i="31"/>
  <c r="H588" i="31"/>
  <c r="H456" i="31"/>
  <c r="H518" i="31"/>
  <c r="H462" i="31"/>
  <c r="H659" i="31"/>
  <c r="H574" i="31"/>
  <c r="H100" i="31"/>
  <c r="H327" i="31"/>
  <c r="H19" i="31"/>
  <c r="H653" i="31"/>
  <c r="H310" i="31"/>
  <c r="H549" i="31"/>
  <c r="H598" i="31"/>
  <c r="H240" i="31"/>
  <c r="H270" i="31"/>
  <c r="H695" i="31"/>
  <c r="H229" i="31"/>
  <c r="H485" i="31"/>
  <c r="H648" i="31"/>
  <c r="H570" i="31"/>
  <c r="H414" i="31"/>
  <c r="H61" i="31"/>
  <c r="H519" i="31"/>
  <c r="H12" i="31"/>
  <c r="H578" i="31"/>
  <c r="H398" i="31"/>
  <c r="H616" i="31"/>
  <c r="H66" i="31"/>
  <c r="H30" i="31"/>
  <c r="H121" i="31"/>
  <c r="H605" i="31"/>
  <c r="H554" i="31"/>
  <c r="H382" i="31"/>
  <c r="H147" i="31"/>
  <c r="H679" i="31"/>
  <c r="H667" i="31"/>
  <c r="H271" i="31"/>
  <c r="H275" i="31"/>
  <c r="H486" i="31"/>
  <c r="H604" i="31"/>
  <c r="H647" i="31"/>
  <c r="H510" i="31"/>
  <c r="H62" i="31"/>
  <c r="H432" i="31"/>
  <c r="H25" i="31"/>
  <c r="H322" i="31"/>
  <c r="H683" i="31"/>
  <c r="H68" i="31"/>
  <c r="H450" i="31"/>
  <c r="H599" i="31"/>
  <c r="H613" i="31"/>
  <c r="H610" i="31"/>
  <c r="H76" i="31"/>
  <c r="H560" i="31"/>
  <c r="H223" i="31"/>
  <c r="H712" i="31"/>
  <c r="H537" i="31"/>
  <c r="H372" i="31"/>
  <c r="H222" i="31"/>
  <c r="H571" i="31"/>
  <c r="H203" i="31"/>
  <c r="H536" i="31"/>
  <c r="H644" i="31"/>
  <c r="H280" i="31"/>
  <c r="H279" i="31"/>
  <c r="H168" i="31"/>
  <c r="H328" i="31"/>
  <c r="H728" i="31"/>
  <c r="H534" i="31"/>
  <c r="H241" i="31"/>
  <c r="H86" i="31"/>
  <c r="H323" i="31"/>
  <c r="H572" i="31"/>
  <c r="H185" i="31"/>
  <c r="H532" i="31"/>
  <c r="H686" i="31"/>
  <c r="H389" i="31"/>
  <c r="H579" i="31"/>
  <c r="H352" i="31"/>
  <c r="H628" i="31"/>
  <c r="H447" i="31"/>
  <c r="H503" i="31"/>
  <c r="H464" i="31"/>
  <c r="H40" i="31"/>
  <c r="H718" i="31"/>
  <c r="H615" i="31"/>
  <c r="H386" i="31"/>
  <c r="H552" i="31"/>
  <c r="H96" i="31"/>
  <c r="H542" i="31"/>
  <c r="H497" i="31"/>
  <c r="H487" i="31"/>
  <c r="H350" i="31"/>
  <c r="H541" i="31"/>
  <c r="H662" i="31"/>
  <c r="H205" i="31"/>
  <c r="H724" i="31"/>
  <c r="H509" i="31"/>
  <c r="H556" i="31"/>
  <c r="H230" i="31"/>
  <c r="H6" i="31"/>
  <c r="H732" i="31"/>
  <c r="H701" i="31"/>
  <c r="H591" i="31"/>
  <c r="H269" i="31"/>
  <c r="H128" i="31"/>
  <c r="H106" i="31"/>
  <c r="H23" i="31"/>
  <c r="H474" i="31"/>
  <c r="H495" i="31"/>
  <c r="H266" i="31"/>
  <c r="H27" i="31"/>
  <c r="H496" i="31"/>
  <c r="H5" i="31"/>
  <c r="H84" i="31"/>
  <c r="H245" i="31"/>
  <c r="H443" i="31"/>
  <c r="H589" i="31"/>
  <c r="H276" i="31"/>
  <c r="H251" i="31"/>
  <c r="H70" i="31"/>
  <c r="H625" i="31"/>
  <c r="H664" i="31"/>
  <c r="H468" i="31"/>
  <c r="H539" i="31"/>
  <c r="H89" i="31"/>
  <c r="H146" i="31"/>
  <c r="H143" i="31"/>
  <c r="H175" i="31"/>
  <c r="H133" i="31"/>
  <c r="H264" i="31"/>
  <c r="H65" i="31"/>
  <c r="H99" i="31"/>
  <c r="H370" i="31"/>
  <c r="H163" i="31"/>
  <c r="H59" i="31"/>
  <c r="H309" i="31"/>
  <c r="H507" i="31"/>
  <c r="H136" i="31"/>
  <c r="H666" i="31"/>
  <c r="H267" i="31"/>
  <c r="H707" i="31"/>
  <c r="H221" i="31"/>
  <c r="H93" i="31"/>
  <c r="H207" i="31"/>
  <c r="H302" i="31"/>
  <c r="H538" i="31"/>
  <c r="H630" i="31"/>
  <c r="H247" i="31"/>
  <c r="H69" i="31"/>
  <c r="H482" i="31"/>
  <c r="H614" i="31"/>
  <c r="H363" i="31"/>
  <c r="H527" i="31"/>
  <c r="H517" i="31"/>
  <c r="H437" i="31"/>
  <c r="H119" i="31"/>
  <c r="H29" i="31"/>
  <c r="H282" i="31"/>
  <c r="H674" i="31"/>
  <c r="H63" i="31"/>
  <c r="H10" i="31"/>
  <c r="H138" i="31"/>
  <c r="H22" i="31"/>
  <c r="H87" i="31"/>
  <c r="H489" i="31"/>
  <c r="H393" i="31"/>
  <c r="H181" i="31"/>
  <c r="H184" i="31"/>
  <c r="H522" i="31"/>
  <c r="H600" i="31"/>
  <c r="H655" i="31"/>
  <c r="H693" i="31"/>
  <c r="H449" i="31"/>
  <c r="H433" i="31"/>
  <c r="H638" i="31"/>
  <c r="H597" i="31"/>
  <c r="H356" i="31"/>
  <c r="H172" i="31"/>
  <c r="H458" i="31"/>
  <c r="H385" i="31"/>
  <c r="H351" i="31"/>
  <c r="H533" i="31"/>
  <c r="H217" i="31"/>
  <c r="H193" i="31"/>
  <c r="H312" i="31"/>
  <c r="H658" i="31"/>
  <c r="H72" i="31"/>
  <c r="H235" i="31"/>
  <c r="H704" i="31"/>
  <c r="H7" i="31"/>
  <c r="H609" i="31"/>
  <c r="H573" i="31"/>
  <c r="H71" i="31"/>
  <c r="H187" i="31"/>
  <c r="H520" i="31"/>
  <c r="H441" i="31"/>
  <c r="H355" i="31"/>
  <c r="H315" i="31"/>
  <c r="H569" i="31"/>
  <c r="H719" i="31"/>
  <c r="H227" i="31"/>
  <c r="H440" i="31"/>
  <c r="H362" i="31"/>
  <c r="H546" i="31"/>
  <c r="H434" i="31"/>
  <c r="H375" i="31"/>
  <c r="H585" i="31"/>
  <c r="H688" i="31"/>
  <c r="H295" i="31"/>
  <c r="H220" i="31"/>
  <c r="H80" i="31"/>
  <c r="H159" i="31"/>
  <c r="H306" i="31"/>
  <c r="H643" i="31"/>
  <c r="H416" i="31"/>
  <c r="H237" i="31"/>
  <c r="H627" i="31"/>
  <c r="H349" i="31"/>
  <c r="H82" i="31"/>
  <c r="H530" i="31"/>
  <c r="H129" i="31"/>
  <c r="H31" i="31"/>
  <c r="H380" i="31"/>
  <c r="H321" i="31"/>
  <c r="H673" i="31"/>
  <c r="H681" i="31"/>
  <c r="H39" i="31"/>
  <c r="H190" i="31"/>
  <c r="H60" i="31"/>
  <c r="H620" i="31"/>
  <c r="H130" i="31"/>
  <c r="H672" i="31"/>
  <c r="H116" i="31"/>
  <c r="H379" i="31"/>
  <c r="H431" i="31"/>
  <c r="H150" i="31"/>
  <c r="H244" i="31"/>
  <c r="H122" i="31"/>
  <c r="H508" i="31"/>
  <c r="H488" i="31"/>
  <c r="H584" i="31"/>
  <c r="H164" i="31"/>
  <c r="H481" i="31"/>
  <c r="H341" i="31"/>
  <c r="H483" i="31"/>
  <c r="H636" i="31"/>
  <c r="H531" i="31"/>
  <c r="H378" i="31"/>
  <c r="H77" i="31"/>
  <c r="H408" i="31"/>
  <c r="H132" i="31"/>
  <c r="H692" i="31"/>
  <c r="H67" i="31"/>
  <c r="H224" i="31"/>
  <c r="H377" i="31"/>
  <c r="H239" i="31"/>
  <c r="H642" i="31"/>
  <c r="H125" i="31"/>
  <c r="H196" i="31"/>
  <c r="H512" i="31"/>
  <c r="H596" i="31"/>
  <c r="H127" i="31"/>
  <c r="H81" i="31"/>
  <c r="H592" i="31"/>
  <c r="H145" i="31"/>
  <c r="H18" i="31"/>
  <c r="H479" i="31"/>
  <c r="H436" i="31"/>
  <c r="H633" i="31"/>
  <c r="H467" i="31"/>
  <c r="H324" i="31"/>
  <c r="H17" i="31"/>
  <c r="H526" i="31"/>
  <c r="H454" i="31"/>
  <c r="H384" i="31"/>
  <c r="H281" i="31"/>
  <c r="H188" i="31"/>
  <c r="H325" i="31"/>
  <c r="H161" i="31"/>
  <c r="H553" i="31"/>
  <c r="H258" i="31"/>
  <c r="H567" i="31"/>
  <c r="H369" i="31"/>
  <c r="H37" i="31"/>
  <c r="H439" i="31"/>
  <c r="H373" i="31"/>
  <c r="H192" i="31"/>
  <c r="H557" i="31"/>
  <c r="H593" i="31"/>
  <c r="H353" i="31"/>
  <c r="H545" i="31"/>
  <c r="H731" i="31"/>
  <c r="H262" i="31"/>
  <c r="H671" i="31"/>
  <c r="H169" i="31"/>
  <c r="H445" i="31"/>
  <c r="H412" i="31"/>
  <c r="H340" i="31"/>
  <c r="H16" i="31"/>
  <c r="H13" i="31"/>
  <c r="H548" i="31"/>
  <c r="H505" i="31"/>
  <c r="H670" i="31"/>
  <c r="H698" i="31"/>
  <c r="H619" i="31"/>
  <c r="H492" i="31"/>
  <c r="H261" i="31"/>
  <c r="H367" i="31"/>
  <c r="H562" i="31"/>
  <c r="H716" i="31"/>
  <c r="H687" i="31"/>
  <c r="H682" i="31"/>
  <c r="H677" i="31"/>
  <c r="H470" i="31"/>
  <c r="H98" i="31"/>
  <c r="H104" i="31"/>
  <c r="H650" i="31"/>
  <c r="H675" i="31"/>
  <c r="H197" i="31"/>
  <c r="H540" i="31"/>
  <c r="H551" i="31"/>
  <c r="H361" i="31"/>
  <c r="H179" i="31"/>
  <c r="H726" i="31"/>
  <c r="H228" i="31"/>
  <c r="H47" i="31"/>
  <c r="H120" i="31"/>
  <c r="H316" i="31"/>
  <c r="H286" i="31"/>
  <c r="H360" i="31"/>
  <c r="H711" i="31"/>
  <c r="H44" i="31"/>
  <c r="H444" i="31"/>
  <c r="H611" i="31"/>
  <c r="H502" i="31"/>
  <c r="H283" i="31"/>
  <c r="H491" i="31"/>
  <c r="H529" i="31"/>
  <c r="H595" i="31"/>
  <c r="H478" i="31"/>
  <c r="H586" i="31"/>
  <c r="H173" i="31"/>
  <c r="H20" i="31"/>
  <c r="H94" i="31"/>
  <c r="H577" i="31"/>
  <c r="H680" i="31"/>
  <c r="H265" i="31"/>
  <c r="H141" i="31"/>
  <c r="H97" i="31"/>
  <c r="H459" i="31"/>
  <c r="H587" i="31"/>
  <c r="H438" i="31"/>
  <c r="H415" i="31"/>
  <c r="H665" i="31"/>
  <c r="H298" i="31"/>
  <c r="H134" i="31"/>
  <c r="H727" i="31"/>
  <c r="H669" i="31"/>
  <c r="H399" i="31"/>
  <c r="H329" i="31"/>
  <c r="H713" i="31"/>
  <c r="H700" i="31"/>
  <c r="H631" i="31"/>
  <c r="H506" i="31"/>
  <c r="H374" i="31"/>
  <c r="H252" i="31"/>
  <c r="H460" i="31"/>
  <c r="H646" i="31"/>
  <c r="H105" i="31"/>
  <c r="H284" i="31"/>
  <c r="H703" i="31"/>
  <c r="H126" i="31"/>
  <c r="H334" i="31"/>
  <c r="H635" i="31"/>
  <c r="H480" i="31"/>
  <c r="H575" i="31"/>
  <c r="H308" i="31"/>
  <c r="H346" i="31"/>
  <c r="H654" i="31"/>
  <c r="H668" i="31"/>
  <c r="H637" i="31"/>
  <c r="H442" i="31"/>
  <c r="H171" i="31"/>
  <c r="H91" i="31"/>
  <c r="H359" i="31"/>
  <c r="H723" i="31"/>
  <c r="H364" i="31"/>
  <c r="H204" i="31"/>
  <c r="H583" i="31"/>
  <c r="H729" i="31"/>
  <c r="H26" i="31"/>
  <c r="H232" i="31"/>
  <c r="H453" i="31"/>
  <c r="H501" i="31"/>
  <c r="H272" i="31"/>
  <c r="H564" i="31"/>
  <c r="H465" i="31"/>
  <c r="H722" i="31"/>
  <c r="H708" i="31"/>
  <c r="H300" i="31"/>
  <c r="H590" i="31"/>
  <c r="H256" i="31"/>
  <c r="H730" i="31"/>
  <c r="H206" i="31"/>
  <c r="H21" i="31"/>
  <c r="H649" i="31"/>
  <c r="H151" i="31"/>
  <c r="H347" i="31"/>
  <c r="H131" i="31"/>
  <c r="H246" i="31"/>
  <c r="H448" i="31"/>
  <c r="H641" i="31"/>
  <c r="H191" i="31"/>
  <c r="H387" i="31"/>
  <c r="H691" i="31"/>
  <c r="H212" i="31"/>
  <c r="H344" i="31"/>
  <c r="H555" i="31"/>
  <c r="H83" i="31"/>
  <c r="H213" i="31"/>
  <c r="H38" i="31"/>
  <c r="H319" i="31"/>
  <c r="H547" i="31"/>
  <c r="H657" i="31"/>
  <c r="H140" i="31"/>
  <c r="H317" i="31"/>
  <c r="H535" i="31"/>
  <c r="H102" i="31"/>
  <c r="H702" i="31"/>
  <c r="H304" i="31"/>
  <c r="H103" i="31"/>
  <c r="H663" i="31"/>
  <c r="H303" i="31"/>
  <c r="H543" i="31"/>
  <c r="H152" i="31"/>
  <c r="H326" i="31"/>
  <c r="H142" i="31"/>
  <c r="H410" i="31"/>
  <c r="H64" i="31"/>
  <c r="H210" i="31"/>
  <c r="H75" i="31"/>
  <c r="H186" i="31"/>
  <c r="H200" i="31"/>
  <c r="H338" i="31"/>
  <c r="H705" i="31"/>
  <c r="H195" i="31"/>
  <c r="H180" i="31"/>
  <c r="H634" i="31"/>
  <c r="H214" i="31"/>
  <c r="H343" i="31"/>
  <c r="H24" i="31"/>
  <c r="H311" i="31"/>
  <c r="H602" i="31"/>
  <c r="H689" i="31"/>
  <c r="H461" i="31"/>
  <c r="H678" i="31"/>
  <c r="H720" i="31"/>
  <c r="H624" i="31"/>
  <c r="H685" i="31"/>
  <c r="H268" i="31"/>
  <c r="H34" i="31"/>
  <c r="H696" i="31"/>
  <c r="H395" i="31"/>
  <c r="H411" i="31"/>
  <c r="H475" i="31"/>
  <c r="H57" i="31"/>
  <c r="H661" i="31"/>
  <c r="H676" i="31"/>
  <c r="H622" i="31"/>
  <c r="H154" i="31"/>
  <c r="H182" i="31"/>
  <c r="H528" i="31"/>
  <c r="H215" i="31"/>
  <c r="H101" i="31"/>
  <c r="H484" i="31"/>
  <c r="H476" i="31"/>
  <c r="H511" i="31"/>
  <c r="H157" i="31"/>
  <c r="H383" i="31"/>
  <c r="H278" i="31"/>
  <c r="H576" i="31"/>
  <c r="H626" i="31"/>
  <c r="H263" i="31"/>
  <c r="H88" i="31"/>
  <c r="H149" i="31"/>
  <c r="H333" i="31"/>
  <c r="H463" i="31"/>
  <c r="H715" i="31"/>
  <c r="B37" i="6" l="1"/>
  <c r="D5" i="37"/>
  <c r="D19" i="37"/>
  <c r="B71" i="37"/>
  <c r="C219" i="36"/>
  <c r="I11" i="36"/>
  <c r="F562" i="36"/>
  <c r="D120" i="37"/>
  <c r="D118" i="6"/>
  <c r="B109" i="6"/>
  <c r="A1" i="37"/>
  <c r="A6" i="8"/>
  <c r="C303" i="36"/>
  <c r="B83" i="37"/>
  <c r="C19" i="6"/>
  <c r="B50" i="6"/>
  <c r="B58" i="6"/>
  <c r="H21" i="36"/>
  <c r="D73" i="37"/>
  <c r="F233" i="36"/>
  <c r="C34" i="6"/>
  <c r="C583" i="36"/>
  <c r="B123" i="37"/>
  <c r="C254" i="36"/>
  <c r="B76" i="37"/>
  <c r="F117" i="6"/>
  <c r="A27" i="7"/>
  <c r="B11" i="38"/>
  <c r="AL9" i="39" s="1"/>
  <c r="B49" i="6"/>
  <c r="A32" i="8"/>
  <c r="A18" i="8"/>
  <c r="G10" i="34"/>
  <c r="F597" i="36"/>
  <c r="D125" i="37"/>
  <c r="B118" i="6"/>
  <c r="B35" i="6"/>
  <c r="B113" i="6"/>
  <c r="G40" i="37"/>
  <c r="O41" i="37"/>
  <c r="H2" i="8"/>
  <c r="F226" i="36"/>
  <c r="D72" i="37"/>
  <c r="B122" i="6"/>
  <c r="B121" i="37"/>
  <c r="C569" i="36"/>
  <c r="D53" i="37"/>
  <c r="F93" i="36"/>
  <c r="A1" i="8"/>
  <c r="D58" i="37"/>
  <c r="F128" i="36"/>
  <c r="F30" i="36"/>
  <c r="D44" i="37"/>
  <c r="B29" i="38"/>
  <c r="AL24" i="39" s="1"/>
  <c r="F198" i="36"/>
  <c r="D68" i="37"/>
  <c r="B18" i="38"/>
  <c r="AL14" i="39" s="1"/>
  <c r="C31" i="8"/>
  <c r="B64" i="37"/>
  <c r="C170" i="36"/>
  <c r="A24" i="37"/>
  <c r="C240" i="36"/>
  <c r="B74" i="37"/>
  <c r="E22" i="6"/>
  <c r="X33" i="37"/>
  <c r="X3" i="37"/>
  <c r="X17" i="37"/>
  <c r="J21" i="36"/>
  <c r="I21" i="36"/>
  <c r="E14" i="6"/>
  <c r="A9" i="37"/>
  <c r="C156" i="36"/>
  <c r="B62" i="37"/>
  <c r="E26" i="6"/>
  <c r="A11" i="37"/>
  <c r="A3" i="34"/>
  <c r="F219" i="36"/>
  <c r="D71" i="37"/>
  <c r="B10" i="36"/>
  <c r="B88" i="6"/>
  <c r="K2" i="8"/>
  <c r="F212" i="36"/>
  <c r="D70" i="37"/>
  <c r="A10" i="8"/>
  <c r="F65" i="36"/>
  <c r="D49" i="37"/>
  <c r="C130" i="6"/>
  <c r="B20" i="6"/>
  <c r="D103" i="37"/>
  <c r="F443" i="36"/>
  <c r="B46" i="37"/>
  <c r="C44" i="36"/>
  <c r="X2" i="8"/>
  <c r="C233" i="36"/>
  <c r="B73" i="37"/>
  <c r="A2" i="7"/>
  <c r="C6" i="34"/>
  <c r="D64" i="37"/>
  <c r="F170" i="36"/>
  <c r="H3" i="31"/>
  <c r="F513" i="36"/>
  <c r="D113" i="37"/>
  <c r="C99" i="6"/>
  <c r="A1" i="31"/>
  <c r="B39" i="6"/>
  <c r="B97" i="6"/>
  <c r="H577" i="36"/>
  <c r="H576" i="36" s="1"/>
  <c r="G122" i="37" s="1"/>
  <c r="C5" i="6"/>
  <c r="B25" i="6"/>
  <c r="F345" i="36"/>
  <c r="D89" i="37"/>
  <c r="C8" i="34"/>
  <c r="G3" i="31"/>
  <c r="C92" i="6"/>
  <c r="D62" i="37"/>
  <c r="F156" i="36"/>
  <c r="W3" i="8"/>
  <c r="A3" i="31"/>
  <c r="Q3" i="8"/>
  <c r="L11" i="36"/>
  <c r="C478" i="36"/>
  <c r="B108" i="37"/>
  <c r="B14" i="6"/>
  <c r="B125" i="6"/>
  <c r="H125" i="6" s="1"/>
  <c r="C115" i="6"/>
  <c r="S2" i="8"/>
  <c r="B40" i="37"/>
  <c r="B108" i="6"/>
  <c r="B54" i="6"/>
  <c r="B123" i="6"/>
  <c r="H123" i="6" s="1"/>
  <c r="F35" i="37"/>
  <c r="F19" i="37"/>
  <c r="F5" i="37"/>
  <c r="A112" i="37"/>
  <c r="B506" i="36"/>
  <c r="D3" i="37"/>
  <c r="D17" i="37"/>
  <c r="D33" i="37"/>
  <c r="K22" i="36"/>
  <c r="B34" i="6"/>
  <c r="F485" i="36"/>
  <c r="D109" i="37"/>
  <c r="K4" i="8"/>
  <c r="C14" i="6"/>
  <c r="B120" i="6"/>
  <c r="A27" i="37"/>
  <c r="A22" i="8"/>
  <c r="E3" i="31"/>
  <c r="C100" i="36"/>
  <c r="B54" i="37"/>
  <c r="F18" i="37"/>
  <c r="H4" i="37"/>
  <c r="H18" i="37"/>
  <c r="F4" i="37"/>
  <c r="F34" i="37"/>
  <c r="A16" i="7"/>
  <c r="A34" i="8"/>
  <c r="B8" i="6"/>
  <c r="C96" i="6"/>
  <c r="B33" i="6"/>
  <c r="B21" i="36"/>
  <c r="C163" i="36"/>
  <c r="B63" i="37"/>
  <c r="F576" i="36"/>
  <c r="D122" i="37"/>
  <c r="A31" i="7"/>
  <c r="B110" i="6"/>
  <c r="C12" i="36"/>
  <c r="A6" i="34"/>
  <c r="C492" i="36"/>
  <c r="B110" i="37"/>
  <c r="C95" i="6"/>
  <c r="B52" i="6"/>
  <c r="C104" i="6"/>
  <c r="C35" i="6"/>
  <c r="B65" i="6"/>
  <c r="C5" i="37"/>
  <c r="C19" i="37"/>
  <c r="C35" i="37"/>
  <c r="C8" i="6"/>
  <c r="E116" i="6"/>
  <c r="B16" i="6"/>
  <c r="B8" i="38"/>
  <c r="AL8" i="39" s="1"/>
  <c r="A62" i="7"/>
  <c r="S3" i="8"/>
  <c r="E34" i="37"/>
  <c r="I34" i="37"/>
  <c r="G4" i="37"/>
  <c r="I18" i="37"/>
  <c r="E18" i="37"/>
  <c r="I4" i="37"/>
  <c r="G18" i="37"/>
  <c r="G34" i="37"/>
  <c r="E4" i="37"/>
  <c r="A8" i="37"/>
  <c r="B212" i="36"/>
  <c r="A70" i="37"/>
  <c r="E8" i="38"/>
  <c r="AO7" i="39" s="1"/>
  <c r="E8" i="39" s="1"/>
  <c r="F317" i="36"/>
  <c r="D85" i="37"/>
  <c r="D3" i="31"/>
  <c r="C562" i="36"/>
  <c r="B120" i="37"/>
  <c r="T3" i="8"/>
  <c r="B85" i="6"/>
  <c r="E19" i="6"/>
  <c r="F107" i="36"/>
  <c r="D55" i="37"/>
  <c r="B2" i="7"/>
  <c r="J22" i="36"/>
  <c r="C21" i="36"/>
  <c r="B44" i="6"/>
  <c r="B95" i="6"/>
  <c r="D4" i="8"/>
  <c r="D118" i="37"/>
  <c r="F548" i="36"/>
  <c r="B66" i="6"/>
  <c r="C117" i="6"/>
  <c r="A21" i="7"/>
  <c r="C13" i="6"/>
  <c r="E27" i="6"/>
  <c r="A15" i="32"/>
  <c r="A19" i="32"/>
  <c r="C2" i="8"/>
  <c r="C32" i="8"/>
  <c r="B17" i="6"/>
  <c r="B104" i="37"/>
  <c r="C450" i="36"/>
  <c r="F555" i="36"/>
  <c r="D119" i="37"/>
  <c r="I3" i="31"/>
  <c r="E24" i="6"/>
  <c r="F3" i="8"/>
  <c r="C102" i="6"/>
  <c r="B90" i="6"/>
  <c r="D50" i="37"/>
  <c r="F72" i="36"/>
  <c r="J4" i="8"/>
  <c r="B9" i="6"/>
  <c r="A2" i="34"/>
  <c r="F4" i="8"/>
  <c r="B100" i="6"/>
  <c r="D115" i="37"/>
  <c r="F527" i="36"/>
  <c r="D85" i="6"/>
  <c r="B92" i="37"/>
  <c r="C366" i="36"/>
  <c r="A23" i="37"/>
  <c r="D46" i="37"/>
  <c r="F44" i="36"/>
  <c r="B34" i="37"/>
  <c r="B18" i="37"/>
  <c r="B4" i="37"/>
  <c r="A7" i="8"/>
  <c r="B26" i="6"/>
  <c r="C32" i="6"/>
  <c r="A21" i="32"/>
  <c r="A22" i="37"/>
  <c r="B41" i="6"/>
  <c r="B121" i="6"/>
  <c r="E4" i="6"/>
  <c r="B53" i="6"/>
  <c r="A22" i="32"/>
  <c r="C191" i="36"/>
  <c r="B67" i="37"/>
  <c r="C101" i="6"/>
  <c r="I10" i="36"/>
  <c r="B569" i="36"/>
  <c r="A121" i="37"/>
  <c r="C105" i="6"/>
  <c r="C20" i="6"/>
  <c r="F100" i="36"/>
  <c r="D54" i="37"/>
  <c r="A102" i="37"/>
  <c r="B436" i="36"/>
  <c r="D96" i="37"/>
  <c r="F394" i="36"/>
  <c r="N4" i="8"/>
  <c r="F289" i="36"/>
  <c r="D81" i="37"/>
  <c r="B21" i="38"/>
  <c r="AL17" i="39" s="1"/>
  <c r="C65" i="36"/>
  <c r="B49" i="37"/>
  <c r="A29" i="8"/>
  <c r="B9" i="36"/>
  <c r="O4" i="8"/>
  <c r="E8" i="6"/>
  <c r="B124" i="6"/>
  <c r="H124" i="6" s="1"/>
  <c r="B57" i="6"/>
  <c r="D2" i="8"/>
  <c r="B55" i="6"/>
  <c r="B95" i="37"/>
  <c r="C387" i="36"/>
  <c r="C93" i="6"/>
  <c r="B62" i="6"/>
  <c r="C16" i="6"/>
  <c r="A77" i="37"/>
  <c r="B261" i="36"/>
  <c r="D101" i="37"/>
  <c r="F429" i="36"/>
  <c r="C226" i="36"/>
  <c r="B72" i="37"/>
  <c r="B82" i="6"/>
  <c r="P4" i="8"/>
  <c r="A52" i="37"/>
  <c r="B86" i="36"/>
  <c r="C23" i="36"/>
  <c r="B43" i="37"/>
  <c r="D117" i="6"/>
  <c r="B14" i="38"/>
  <c r="F58" i="36"/>
  <c r="D48" i="37"/>
  <c r="AQ8" i="39"/>
  <c r="AS8" i="39"/>
  <c r="AT8" i="39"/>
  <c r="AR8" i="39"/>
  <c r="AO8" i="39"/>
  <c r="A13" i="37"/>
  <c r="Q4" i="8"/>
  <c r="G7" i="34"/>
  <c r="A125" i="37"/>
  <c r="B597" i="36"/>
  <c r="E5" i="6"/>
  <c r="L10" i="36"/>
  <c r="G30" i="8"/>
  <c r="B3" i="8"/>
  <c r="E120" i="6"/>
  <c r="F380" i="36"/>
  <c r="D94" i="37"/>
  <c r="C34" i="8"/>
  <c r="A31" i="37"/>
  <c r="C338" i="36"/>
  <c r="B88" i="37"/>
  <c r="F10" i="36"/>
  <c r="F261" i="36"/>
  <c r="D77" i="37"/>
  <c r="F17" i="37"/>
  <c r="F3" i="37"/>
  <c r="F33" i="37"/>
  <c r="C94" i="6"/>
  <c r="L4" i="8"/>
  <c r="D3" i="6"/>
  <c r="E25" i="6"/>
  <c r="U3" i="8"/>
  <c r="B12" i="6"/>
  <c r="D84" i="37"/>
  <c r="F310" i="36"/>
  <c r="B102" i="6"/>
  <c r="A7" i="37"/>
  <c r="J3" i="8"/>
  <c r="B13" i="6"/>
  <c r="C24" i="6"/>
  <c r="F37" i="36"/>
  <c r="D45" i="37"/>
  <c r="B25" i="38"/>
  <c r="AL20" i="39" s="1"/>
  <c r="B106" i="6"/>
  <c r="C116" i="6"/>
  <c r="A5" i="32"/>
  <c r="A55" i="7"/>
  <c r="F366" i="36"/>
  <c r="D92" i="37"/>
  <c r="B26" i="38"/>
  <c r="AL21" i="39" s="1"/>
  <c r="H40" i="37"/>
  <c r="D51" i="37"/>
  <c r="F79" i="36"/>
  <c r="D74" i="37"/>
  <c r="F240" i="36"/>
  <c r="E12" i="6"/>
  <c r="D3" i="8"/>
  <c r="A8" i="8"/>
  <c r="B32" i="6"/>
  <c r="C485" i="36"/>
  <c r="B109" i="37"/>
  <c r="K3" i="8"/>
  <c r="C106" i="6"/>
  <c r="B126" i="6"/>
  <c r="H126" i="6" s="1"/>
  <c r="C3" i="6"/>
  <c r="B21" i="6"/>
  <c r="A44" i="7"/>
  <c r="C109" i="6"/>
  <c r="C26" i="6"/>
  <c r="B125" i="37"/>
  <c r="C597" i="36"/>
  <c r="B122" i="37"/>
  <c r="C576" i="36"/>
  <c r="A16" i="8"/>
  <c r="B63" i="6"/>
  <c r="H11" i="36"/>
  <c r="E6" i="34"/>
  <c r="B60" i="37"/>
  <c r="C142" i="36"/>
  <c r="A10" i="32"/>
  <c r="B17" i="38"/>
  <c r="AL13" i="39" s="1"/>
  <c r="B35" i="37"/>
  <c r="B19" i="37"/>
  <c r="B5" i="37"/>
  <c r="A68" i="37"/>
  <c r="B198" i="36"/>
  <c r="B5" i="6"/>
  <c r="C33" i="6"/>
  <c r="V3" i="8"/>
  <c r="F116" i="6"/>
  <c r="B56" i="6"/>
  <c r="B23" i="38"/>
  <c r="AL18" i="39" s="1"/>
  <c r="F450" i="36"/>
  <c r="D104" i="37"/>
  <c r="G121" i="6"/>
  <c r="H121" i="6" s="1"/>
  <c r="E17" i="6"/>
  <c r="Q3" i="37"/>
  <c r="Q17" i="37"/>
  <c r="Q33" i="37"/>
  <c r="D65" i="37"/>
  <c r="F177" i="36"/>
  <c r="B12" i="36"/>
  <c r="D78" i="37"/>
  <c r="F268" i="36"/>
  <c r="D124" i="37"/>
  <c r="F590" i="36"/>
  <c r="C128" i="36"/>
  <c r="B58" i="37"/>
  <c r="C15" i="6"/>
  <c r="D40" i="37"/>
  <c r="B13" i="38"/>
  <c r="B94" i="37"/>
  <c r="C380" i="36"/>
  <c r="G4" i="8"/>
  <c r="F21" i="36"/>
  <c r="B19" i="38"/>
  <c r="AL15" i="39" s="1"/>
  <c r="F569" i="36"/>
  <c r="D121" i="37"/>
  <c r="B52" i="37"/>
  <c r="C86" i="36"/>
  <c r="C506" i="36"/>
  <c r="B112" i="37"/>
  <c r="C177" i="36"/>
  <c r="B65" i="37"/>
  <c r="C198" i="36"/>
  <c r="B68" i="37"/>
  <c r="J11" i="36"/>
  <c r="E18" i="6"/>
  <c r="B42" i="6"/>
  <c r="C118" i="6"/>
  <c r="B24" i="38"/>
  <c r="AL19" i="39" s="1"/>
  <c r="D108" i="37"/>
  <c r="F478" i="36"/>
  <c r="A6" i="39"/>
  <c r="A6" i="38"/>
  <c r="B7" i="36"/>
  <c r="C98" i="6"/>
  <c r="B15" i="6"/>
  <c r="D102" i="37"/>
  <c r="F436" i="36"/>
  <c r="C10" i="36"/>
  <c r="A1" i="32"/>
  <c r="B70" i="6"/>
  <c r="C9" i="34"/>
  <c r="F583" i="36"/>
  <c r="D123" i="37"/>
  <c r="B69" i="6"/>
  <c r="B48" i="6"/>
  <c r="L22" i="36"/>
  <c r="A124" i="37"/>
  <c r="B590" i="36"/>
  <c r="H332" i="36"/>
  <c r="H331" i="36" s="1"/>
  <c r="G87" i="37" s="1"/>
  <c r="H290" i="36"/>
  <c r="H289" i="36" s="1"/>
  <c r="G81" i="37" s="1"/>
  <c r="H241" i="36"/>
  <c r="H240" i="36" s="1"/>
  <c r="G74" i="37" s="1"/>
  <c r="H122" i="36"/>
  <c r="H121" i="36" s="1"/>
  <c r="G57" i="37" s="1"/>
  <c r="H591" i="36"/>
  <c r="H590" i="36" s="1"/>
  <c r="G124" i="37" s="1"/>
  <c r="H66" i="36"/>
  <c r="H65" i="36" s="1"/>
  <c r="G49" i="37" s="1"/>
  <c r="H311" i="36"/>
  <c r="H310" i="36" s="1"/>
  <c r="G84" i="37" s="1"/>
  <c r="H598" i="36"/>
  <c r="H597" i="36" s="1"/>
  <c r="G125" i="37" s="1"/>
  <c r="H31" i="36"/>
  <c r="H30" i="36" s="1"/>
  <c r="G44" i="37" s="1"/>
  <c r="H94" i="36"/>
  <c r="H93" i="36" s="1"/>
  <c r="G53" i="37" s="1"/>
  <c r="H269" i="36"/>
  <c r="H268" i="36" s="1"/>
  <c r="G78" i="37" s="1"/>
  <c r="H304" i="36"/>
  <c r="H303" i="36" s="1"/>
  <c r="G83" i="37" s="1"/>
  <c r="H262" i="36"/>
  <c r="H261" i="36" s="1"/>
  <c r="G77" i="37" s="1"/>
  <c r="H24" i="36"/>
  <c r="H23" i="36" s="1"/>
  <c r="G43" i="37" s="1"/>
  <c r="D14" i="38" s="1"/>
  <c r="D13" i="38" s="1"/>
  <c r="H248" i="36"/>
  <c r="H247" i="36" s="1"/>
  <c r="G75" i="37" s="1"/>
  <c r="H283" i="36"/>
  <c r="H282" i="36" s="1"/>
  <c r="G80" i="37" s="1"/>
  <c r="H227" i="36"/>
  <c r="H226" i="36" s="1"/>
  <c r="G72" i="37" s="1"/>
  <c r="H108" i="36"/>
  <c r="H107" i="36" s="1"/>
  <c r="G55" i="37" s="1"/>
  <c r="H213" i="36"/>
  <c r="H212" i="36" s="1"/>
  <c r="G70" i="37" s="1"/>
  <c r="H73" i="36"/>
  <c r="H72" i="36" s="1"/>
  <c r="G50" i="37" s="1"/>
  <c r="H45" i="36"/>
  <c r="H44" i="36" s="1"/>
  <c r="G46" i="37" s="1"/>
  <c r="H234" i="36"/>
  <c r="H233" i="36" s="1"/>
  <c r="G73" i="37" s="1"/>
  <c r="H52" i="36"/>
  <c r="H51" i="36" s="1"/>
  <c r="G47" i="37" s="1"/>
  <c r="H255" i="36"/>
  <c r="H254" i="36" s="1"/>
  <c r="G76" i="37" s="1"/>
  <c r="H360" i="36"/>
  <c r="H359" i="36" s="1"/>
  <c r="G91" i="37" s="1"/>
  <c r="H346" i="36"/>
  <c r="H345" i="36" s="1"/>
  <c r="G89" i="37" s="1"/>
  <c r="H220" i="36"/>
  <c r="H219" i="36" s="1"/>
  <c r="G71" i="37" s="1"/>
  <c r="C100" i="6"/>
  <c r="J3" i="31"/>
  <c r="A2" i="32"/>
  <c r="F331" i="36"/>
  <c r="D87" i="37"/>
  <c r="B89" i="6"/>
  <c r="C17" i="6"/>
  <c r="B3" i="31"/>
  <c r="D63" i="37"/>
  <c r="F163" i="36"/>
  <c r="A13" i="7"/>
  <c r="E20" i="6"/>
  <c r="C3" i="8"/>
  <c r="B61" i="6"/>
  <c r="B71" i="6"/>
  <c r="E21" i="6"/>
  <c r="B20" i="36"/>
  <c r="C85" i="6"/>
  <c r="A9" i="8"/>
  <c r="G116" i="6"/>
  <c r="A69" i="7"/>
  <c r="B38" i="6"/>
  <c r="C9" i="6"/>
  <c r="B19" i="6"/>
  <c r="G120" i="6"/>
  <c r="E3" i="8"/>
  <c r="C88" i="6"/>
  <c r="A12" i="8"/>
  <c r="E9" i="6"/>
  <c r="F23" i="36"/>
  <c r="D43" i="37"/>
  <c r="B105" i="6"/>
  <c r="A21" i="37"/>
  <c r="E3" i="36"/>
  <c r="G11" i="36"/>
  <c r="D98" i="37"/>
  <c r="F408" i="36"/>
  <c r="E13" i="6"/>
  <c r="F3" i="31"/>
  <c r="A26" i="37"/>
  <c r="C436" i="36"/>
  <c r="B102" i="37"/>
  <c r="A33" i="37"/>
  <c r="A17" i="37"/>
  <c r="A3" i="37"/>
  <c r="B33" i="37"/>
  <c r="B3" i="37"/>
  <c r="B17" i="37"/>
  <c r="E15" i="6"/>
  <c r="D61" i="37"/>
  <c r="F149" i="36"/>
  <c r="B104" i="6"/>
  <c r="F275" i="36"/>
  <c r="D79" i="37"/>
  <c r="I4" i="8"/>
  <c r="E16" i="6"/>
  <c r="D80" i="37"/>
  <c r="F282" i="36"/>
  <c r="B93" i="6"/>
  <c r="B30" i="38"/>
  <c r="AL25" i="39" s="1"/>
  <c r="D116" i="6"/>
  <c r="E118" i="6"/>
  <c r="C108" i="6"/>
  <c r="B22" i="6"/>
  <c r="B22" i="38"/>
  <c r="A20" i="37"/>
  <c r="C7" i="34"/>
  <c r="B3" i="6"/>
  <c r="B16" i="38"/>
  <c r="AL12" i="39" s="1"/>
  <c r="C18" i="6"/>
  <c r="D115" i="6"/>
  <c r="B60" i="6"/>
  <c r="B6" i="36"/>
  <c r="A5" i="39"/>
  <c r="A5" i="38"/>
  <c r="H570" i="36"/>
  <c r="H569" i="36" s="1"/>
  <c r="G121" i="37" s="1"/>
  <c r="B69" i="37"/>
  <c r="C205" i="36"/>
  <c r="A5" i="8"/>
  <c r="B87" i="6"/>
  <c r="E115" i="6"/>
  <c r="B219" i="36"/>
  <c r="A71" i="37"/>
  <c r="G6" i="34"/>
  <c r="B20" i="38"/>
  <c r="AL16" i="39" s="1"/>
  <c r="G117" i="6"/>
  <c r="A21" i="8"/>
  <c r="C87" i="6"/>
  <c r="A13" i="32"/>
  <c r="C74" i="6"/>
  <c r="C69" i="6"/>
  <c r="C71" i="6"/>
  <c r="C70" i="6"/>
  <c r="C61" i="6"/>
  <c r="C68" i="6"/>
  <c r="C60" i="6"/>
  <c r="C73" i="6"/>
  <c r="C72" i="6"/>
  <c r="C63" i="6"/>
  <c r="C62" i="6"/>
  <c r="B15" i="38"/>
  <c r="AL11" i="39" s="1"/>
  <c r="C33" i="8"/>
  <c r="B103" i="6"/>
  <c r="B59" i="6"/>
  <c r="D86" i="37"/>
  <c r="F324" i="36"/>
  <c r="H493" i="36"/>
  <c r="H492" i="36" s="1"/>
  <c r="G110" i="37" s="1"/>
  <c r="H500" i="36"/>
  <c r="H499" i="36" s="1"/>
  <c r="G111" i="37" s="1"/>
  <c r="D97" i="37"/>
  <c r="F401" i="36"/>
  <c r="C107" i="6"/>
  <c r="E28" i="6"/>
  <c r="F40" i="37"/>
  <c r="B115" i="6"/>
  <c r="A5" i="34"/>
  <c r="A25" i="37"/>
  <c r="G21" i="36"/>
  <c r="B107" i="6"/>
  <c r="A10" i="7"/>
  <c r="B36" i="6"/>
  <c r="B30" i="6"/>
  <c r="C97" i="6"/>
  <c r="D4" i="6"/>
  <c r="A17" i="8"/>
  <c r="C15" i="36"/>
  <c r="C90" i="6"/>
  <c r="B83" i="6"/>
  <c r="B99" i="6"/>
  <c r="M11" i="36"/>
  <c r="A33" i="8"/>
  <c r="B43" i="6"/>
  <c r="B74" i="6"/>
  <c r="B324" i="36"/>
  <c r="A86" i="37"/>
  <c r="G122" i="6"/>
  <c r="F205" i="36"/>
  <c r="D69" i="37"/>
  <c r="F191" i="36"/>
  <c r="D67" i="37"/>
  <c r="B111" i="37"/>
  <c r="C499" i="36"/>
  <c r="B10" i="38"/>
  <c r="B130" i="6"/>
  <c r="A61" i="37"/>
  <c r="B149" i="36"/>
  <c r="B51" i="6"/>
  <c r="A13" i="8"/>
  <c r="A1" i="38"/>
  <c r="A1" i="39"/>
  <c r="D105" i="37"/>
  <c r="F457" i="36"/>
  <c r="C22" i="6"/>
  <c r="A15" i="37"/>
  <c r="B23" i="6"/>
  <c r="C135" i="36"/>
  <c r="B59" i="37"/>
  <c r="B92" i="6"/>
  <c r="B12" i="38"/>
  <c r="AL10" i="39" s="1"/>
  <c r="G118" i="6"/>
  <c r="F492" i="36"/>
  <c r="D110" i="37"/>
  <c r="C27" i="6"/>
  <c r="B45" i="6"/>
  <c r="A40" i="37"/>
  <c r="B94" i="6"/>
  <c r="C31" i="6"/>
  <c r="B124" i="37"/>
  <c r="C590" i="36"/>
  <c r="F11" i="36"/>
  <c r="A20" i="8"/>
  <c r="O2" i="8"/>
  <c r="A1" i="34"/>
  <c r="D60" i="37"/>
  <c r="F142" i="36"/>
  <c r="C30" i="6"/>
  <c r="B114" i="37"/>
  <c r="C520" i="36"/>
  <c r="E119" i="6"/>
  <c r="F247" i="36"/>
  <c r="D75" i="37"/>
  <c r="B72" i="6"/>
  <c r="M3" i="8"/>
  <c r="A6" i="37"/>
  <c r="D83" i="37"/>
  <c r="F303" i="36"/>
  <c r="A12" i="37"/>
  <c r="A43" i="37"/>
  <c r="B23" i="36"/>
  <c r="P40" i="37"/>
  <c r="B80" i="37"/>
  <c r="C282" i="36"/>
  <c r="B46" i="6"/>
  <c r="M4" i="8"/>
  <c r="G119" i="6"/>
  <c r="B98" i="6"/>
  <c r="M22" i="36"/>
  <c r="A35" i="7"/>
  <c r="D76" i="37"/>
  <c r="F254" i="36"/>
  <c r="C89" i="6"/>
  <c r="F86" i="36"/>
  <c r="D52" i="37"/>
  <c r="D82" i="37"/>
  <c r="F296" i="36"/>
  <c r="B73" i="6"/>
  <c r="A28" i="37"/>
  <c r="A19" i="8"/>
  <c r="B27" i="38"/>
  <c r="AL22" i="39" s="1"/>
  <c r="C8" i="38"/>
  <c r="AM7" i="39" s="1"/>
  <c r="A8" i="39" s="1"/>
  <c r="D112" i="37"/>
  <c r="F506" i="36"/>
  <c r="C261" i="36"/>
  <c r="B77" i="37"/>
  <c r="F373" i="36"/>
  <c r="D93" i="37"/>
  <c r="B47" i="6"/>
  <c r="B1" i="6"/>
  <c r="A6" i="32"/>
  <c r="C110" i="6"/>
  <c r="B128" i="6"/>
  <c r="C401" i="36"/>
  <c r="B97" i="37"/>
  <c r="C91" i="6"/>
  <c r="B96" i="6"/>
  <c r="B28" i="38"/>
  <c r="AL23" i="39" s="1"/>
  <c r="K11" i="36"/>
  <c r="B24" i="6"/>
  <c r="E23" i="6"/>
  <c r="C25" i="6"/>
  <c r="B387" i="36"/>
  <c r="A95" i="37"/>
  <c r="F499" i="36"/>
  <c r="D111" i="37"/>
  <c r="A31" i="8"/>
  <c r="B116" i="6"/>
  <c r="H3" i="8"/>
  <c r="A12" i="32"/>
  <c r="X3" i="8"/>
  <c r="A2" i="8"/>
  <c r="B1" i="36"/>
  <c r="B31" i="6"/>
  <c r="C247" i="36"/>
  <c r="B75" i="37"/>
  <c r="F338" i="36"/>
  <c r="D88" i="37"/>
  <c r="B64" i="6"/>
  <c r="D8" i="38"/>
  <c r="AN7" i="39" s="1"/>
  <c r="C8" i="39" s="1"/>
  <c r="B40" i="6"/>
  <c r="G115" i="6"/>
  <c r="A11" i="8"/>
  <c r="H4" i="8"/>
  <c r="B68" i="6"/>
  <c r="A3" i="7"/>
  <c r="A14" i="8"/>
  <c r="F2" i="8"/>
  <c r="F115" i="6"/>
  <c r="C373" i="36"/>
  <c r="B93" i="37"/>
  <c r="B67" i="6"/>
  <c r="B91" i="6"/>
  <c r="F520" i="36"/>
  <c r="D114" i="37"/>
  <c r="B119" i="6"/>
  <c r="R4" i="8"/>
  <c r="B3" i="36"/>
  <c r="C103" i="6"/>
  <c r="D34" i="37"/>
  <c r="D4" i="37"/>
  <c r="D18" i="37"/>
  <c r="D47" i="37"/>
  <c r="F51" i="36"/>
  <c r="B101" i="6"/>
  <c r="B117" i="6"/>
  <c r="C212" i="36"/>
  <c r="B70" i="37"/>
  <c r="O3" i="8"/>
  <c r="C548" i="36"/>
  <c r="B118" i="37"/>
  <c r="J33" i="37"/>
  <c r="J3" i="37"/>
  <c r="J17" i="37"/>
  <c r="Y3" i="8"/>
  <c r="C10" i="34"/>
  <c r="B101" i="37"/>
  <c r="C429" i="36"/>
  <c r="D95" i="37"/>
  <c r="F387" i="36"/>
  <c r="E4" i="8"/>
  <c r="B61" i="37"/>
  <c r="C149" i="36"/>
  <c r="B18" i="6"/>
  <c r="F135" i="36"/>
  <c r="D59" i="37"/>
  <c r="C9" i="38"/>
  <c r="H9" i="38"/>
  <c r="I9" i="38"/>
  <c r="J9" i="38"/>
  <c r="F9" i="38"/>
  <c r="G9" i="38"/>
  <c r="D9" i="38"/>
  <c r="E9" i="38"/>
  <c r="A67" i="37"/>
  <c r="B191" i="36"/>
  <c r="F8" i="38"/>
  <c r="AP7" i="39" s="1"/>
  <c r="G8" i="39" s="1"/>
  <c r="C12" i="6"/>
  <c r="A3" i="8"/>
  <c r="C324" i="36"/>
  <c r="B86" i="37"/>
  <c r="A18" i="32"/>
  <c r="A16" i="32"/>
  <c r="B27" i="6"/>
  <c r="C3" i="31"/>
  <c r="C23" i="6"/>
  <c r="E117" i="6"/>
  <c r="A8" i="32"/>
  <c r="C21" i="6"/>
  <c r="A10" i="37"/>
  <c r="A15" i="8"/>
  <c r="B5" i="36"/>
  <c r="A4" i="38"/>
  <c r="A4" i="39"/>
  <c r="H13" i="36"/>
  <c r="M12" i="36"/>
  <c r="M15" i="36"/>
  <c r="H16" i="36"/>
  <c r="K13" i="36"/>
  <c r="H15" i="36"/>
  <c r="K14" i="36"/>
  <c r="H12" i="36"/>
  <c r="K16" i="36"/>
  <c r="H17" i="36"/>
  <c r="K15" i="36"/>
  <c r="H14" i="36"/>
  <c r="K17" i="36"/>
  <c r="K12" i="36"/>
  <c r="C12" i="37" l="1"/>
  <c r="B12" i="37"/>
  <c r="C20" i="37"/>
  <c r="B20" i="37"/>
  <c r="AP8" i="39"/>
  <c r="B9" i="37"/>
  <c r="C9" i="37"/>
  <c r="AN8" i="39"/>
  <c r="B26" i="37"/>
  <c r="C26" i="37"/>
  <c r="AM8" i="39"/>
  <c r="AU8" i="39" s="1" a="1"/>
  <c r="AU8" i="39" s="1"/>
  <c r="B24" i="37"/>
  <c r="C24" i="37"/>
  <c r="C25" i="37"/>
  <c r="B25" i="37"/>
  <c r="B7" i="37"/>
  <c r="C7" i="37"/>
  <c r="C23" i="37"/>
  <c r="B23" i="37"/>
  <c r="C28" i="37"/>
  <c r="B28" i="37"/>
  <c r="B8" i="37"/>
  <c r="C8" i="37"/>
  <c r="C11" i="37"/>
  <c r="B11" i="37"/>
  <c r="B13" i="37"/>
  <c r="C13" i="37"/>
  <c r="B21" i="37"/>
  <c r="C21" i="37"/>
  <c r="B6" i="37"/>
  <c r="C6" i="37"/>
  <c r="B10" i="37"/>
  <c r="C10" i="37"/>
  <c r="B22" i="37"/>
  <c r="C22" i="37"/>
  <c r="B27" i="37"/>
  <c r="C27" i="37"/>
  <c r="Y11" i="37" l="1"/>
  <c r="AC11" i="37"/>
  <c r="AB11" i="37"/>
  <c r="Z11" i="37"/>
  <c r="X11" i="37"/>
  <c r="AD11" i="37"/>
  <c r="AA11" i="37"/>
  <c r="AB8" i="37"/>
  <c r="Y8" i="37"/>
  <c r="AC8" i="37"/>
  <c r="AA8" i="37"/>
  <c r="Z8" i="37"/>
  <c r="X8" i="37"/>
  <c r="AD8" i="37"/>
  <c r="AC25" i="37"/>
  <c r="X25" i="37"/>
  <c r="AD25" i="37"/>
  <c r="AB25" i="37"/>
  <c r="Z25" i="37"/>
  <c r="AA25" i="37"/>
  <c r="Y25" i="37"/>
  <c r="S27" i="37"/>
  <c r="W27" i="37"/>
  <c r="R27" i="37"/>
  <c r="V27" i="37"/>
  <c r="Q27" i="37"/>
  <c r="T27" i="37"/>
  <c r="U27" i="37"/>
  <c r="R21" i="37"/>
  <c r="U21" i="37"/>
  <c r="S21" i="37"/>
  <c r="T21" i="37"/>
  <c r="W21" i="37"/>
  <c r="V21" i="37"/>
  <c r="Q21" i="37"/>
  <c r="AD28" i="37"/>
  <c r="Y28" i="37"/>
  <c r="Z28" i="37"/>
  <c r="X28" i="37"/>
  <c r="AB28" i="37"/>
  <c r="AC28" i="37"/>
  <c r="AA28" i="37"/>
  <c r="V24" i="37"/>
  <c r="W24" i="37"/>
  <c r="Q24" i="37"/>
  <c r="R24" i="37"/>
  <c r="S24" i="37"/>
  <c r="T24" i="37"/>
  <c r="U24" i="37"/>
  <c r="R20" i="37"/>
  <c r="Q20" i="37"/>
  <c r="U20" i="37"/>
  <c r="T20" i="37"/>
  <c r="S20" i="37"/>
  <c r="V20" i="37"/>
  <c r="V30" i="37" s="1"/>
  <c r="W20" i="37"/>
  <c r="W30" i="37" s="1"/>
  <c r="R10" i="37"/>
  <c r="W10" i="37"/>
  <c r="S10" i="37"/>
  <c r="T10" i="37"/>
  <c r="V10" i="37"/>
  <c r="Q10" i="37"/>
  <c r="U10" i="37"/>
  <c r="AA20" i="37"/>
  <c r="AB20" i="37"/>
  <c r="AC20" i="37"/>
  <c r="X20" i="37"/>
  <c r="AD20" i="37"/>
  <c r="Z20" i="37"/>
  <c r="Y20" i="37"/>
  <c r="R25" i="37"/>
  <c r="Q25" i="37"/>
  <c r="W25" i="37"/>
  <c r="U25" i="37"/>
  <c r="S25" i="37"/>
  <c r="T25" i="37"/>
  <c r="V25" i="37"/>
  <c r="AB9" i="37"/>
  <c r="X9" i="37"/>
  <c r="Y9" i="37"/>
  <c r="AD9" i="37"/>
  <c r="Z9" i="37"/>
  <c r="AC9" i="37"/>
  <c r="AA9" i="37"/>
  <c r="R8" i="37"/>
  <c r="V8" i="37"/>
  <c r="T8" i="37"/>
  <c r="U8" i="37"/>
  <c r="W8" i="37"/>
  <c r="Q8" i="37"/>
  <c r="S8" i="37"/>
  <c r="Y27" i="37"/>
  <c r="AC27" i="37"/>
  <c r="AA27" i="37"/>
  <c r="AB27" i="37"/>
  <c r="X27" i="37"/>
  <c r="AD27" i="37"/>
  <c r="Z27" i="37"/>
  <c r="Q28" i="37"/>
  <c r="W28" i="37"/>
  <c r="V28" i="37"/>
  <c r="R28" i="37"/>
  <c r="S28" i="37"/>
  <c r="T28" i="37"/>
  <c r="U28" i="37"/>
  <c r="AC22" i="37"/>
  <c r="AD22" i="37"/>
  <c r="AB22" i="37"/>
  <c r="AA22" i="37"/>
  <c r="Z22" i="37"/>
  <c r="X22" i="37"/>
  <c r="Y22" i="37"/>
  <c r="Y13" i="37"/>
  <c r="AC13" i="37"/>
  <c r="AA13" i="37"/>
  <c r="Z13" i="37"/>
  <c r="AB13" i="37"/>
  <c r="AD13" i="37"/>
  <c r="X13" i="37"/>
  <c r="Q22" i="37"/>
  <c r="U22" i="37"/>
  <c r="S22" i="37"/>
  <c r="T22" i="37"/>
  <c r="V22" i="37"/>
  <c r="R22" i="37"/>
  <c r="W22" i="37"/>
  <c r="U13" i="37"/>
  <c r="W13" i="37"/>
  <c r="S13" i="37"/>
  <c r="T13" i="37"/>
  <c r="R13" i="37"/>
  <c r="Q13" i="37"/>
  <c r="V13" i="37"/>
  <c r="AA23" i="37"/>
  <c r="AC23" i="37"/>
  <c r="AD23" i="37"/>
  <c r="AB23" i="37"/>
  <c r="Z23" i="37"/>
  <c r="X23" i="37"/>
  <c r="Y23" i="37"/>
  <c r="X26" i="37"/>
  <c r="AC26" i="37"/>
  <c r="AB26" i="37"/>
  <c r="Y26" i="37"/>
  <c r="Z26" i="37"/>
  <c r="AA26" i="37"/>
  <c r="AD26" i="37"/>
  <c r="U12" i="37"/>
  <c r="V12" i="37"/>
  <c r="Q12" i="37"/>
  <c r="R12" i="37"/>
  <c r="W12" i="37"/>
  <c r="T12" i="37"/>
  <c r="S12" i="37"/>
  <c r="U7" i="37"/>
  <c r="S7" i="37"/>
  <c r="Q7" i="37"/>
  <c r="V7" i="37"/>
  <c r="T7" i="37"/>
  <c r="W7" i="37"/>
  <c r="R7" i="37"/>
  <c r="X6" i="37"/>
  <c r="Z6" i="37"/>
  <c r="AC6" i="37"/>
  <c r="AA6" i="37"/>
  <c r="AB6" i="37"/>
  <c r="Y6" i="37"/>
  <c r="AD6" i="37"/>
  <c r="U6" i="37"/>
  <c r="R6" i="37"/>
  <c r="T6" i="37"/>
  <c r="V6" i="37"/>
  <c r="S6" i="37"/>
  <c r="Q6" i="37"/>
  <c r="W6" i="37"/>
  <c r="S9" i="37"/>
  <c r="R9" i="37"/>
  <c r="V9" i="37"/>
  <c r="U9" i="37"/>
  <c r="T9" i="37"/>
  <c r="W9" i="37"/>
  <c r="Q9" i="37"/>
  <c r="Z21" i="37"/>
  <c r="AA21" i="37"/>
  <c r="X21" i="37"/>
  <c r="AD21" i="37"/>
  <c r="Y21" i="37"/>
  <c r="AC21" i="37"/>
  <c r="AB21" i="37"/>
  <c r="AC24" i="37"/>
  <c r="Y24" i="37"/>
  <c r="AB24" i="37"/>
  <c r="X24" i="37"/>
  <c r="AD24" i="37"/>
  <c r="Z24" i="37"/>
  <c r="AA24" i="37"/>
  <c r="U23" i="37"/>
  <c r="T23" i="37"/>
  <c r="S23" i="37"/>
  <c r="R23" i="37"/>
  <c r="W23" i="37"/>
  <c r="V23" i="37"/>
  <c r="Q23" i="37"/>
  <c r="Y10" i="37"/>
  <c r="AA10" i="37"/>
  <c r="AC10" i="37"/>
  <c r="X10" i="37"/>
  <c r="AB10" i="37"/>
  <c r="AD10" i="37"/>
  <c r="Z10" i="37"/>
  <c r="V11" i="37"/>
  <c r="S11" i="37"/>
  <c r="U11" i="37"/>
  <c r="W11" i="37"/>
  <c r="R11" i="37"/>
  <c r="T11" i="37"/>
  <c r="Q11" i="37"/>
  <c r="AA7" i="37"/>
  <c r="X7" i="37"/>
  <c r="Z7" i="37"/>
  <c r="AD7" i="37"/>
  <c r="AC7" i="37"/>
  <c r="AB7" i="37"/>
  <c r="Y7" i="37"/>
  <c r="W26" i="37"/>
  <c r="Q26" i="37"/>
  <c r="S26" i="37"/>
  <c r="T26" i="37"/>
  <c r="U26" i="37"/>
  <c r="V26" i="37"/>
  <c r="R26" i="37"/>
  <c r="AD12" i="37"/>
  <c r="Y12" i="37"/>
  <c r="AC12" i="37"/>
  <c r="Z12" i="37"/>
  <c r="X12" i="37"/>
  <c r="AA12" i="37"/>
  <c r="AB12" i="37"/>
  <c r="AA30" i="37" l="1"/>
  <c r="S30" i="37"/>
  <c r="S14" i="37"/>
  <c r="E11" i="38" s="1"/>
  <c r="AA14" i="37"/>
  <c r="G12" i="38" s="1"/>
  <c r="AQ10" i="39" s="1"/>
  <c r="Z30" i="37"/>
  <c r="T30" i="37"/>
  <c r="Q14" i="37"/>
  <c r="V14" i="37"/>
  <c r="I11" i="38" s="1"/>
  <c r="AC14" i="37"/>
  <c r="AD30" i="37"/>
  <c r="U30" i="37"/>
  <c r="Y14" i="37"/>
  <c r="D12" i="38" s="1"/>
  <c r="AN10" i="39" s="1"/>
  <c r="AB14" i="37"/>
  <c r="H12" i="38" s="1"/>
  <c r="AR10" i="39" s="1"/>
  <c r="T14" i="37"/>
  <c r="G11" i="38" s="1"/>
  <c r="Z14" i="37"/>
  <c r="E12" i="38" s="1"/>
  <c r="AO10" i="39" s="1"/>
  <c r="X30" i="37"/>
  <c r="Q30" i="37"/>
  <c r="Y30" i="37"/>
  <c r="R14" i="37"/>
  <c r="X14" i="37"/>
  <c r="AC30" i="37"/>
  <c r="R30" i="37"/>
  <c r="AD14" i="37"/>
  <c r="J12" i="38" s="1"/>
  <c r="AT10" i="39" s="1"/>
  <c r="W14" i="37"/>
  <c r="J11" i="38" s="1"/>
  <c r="U14" i="37"/>
  <c r="H11" i="38" s="1"/>
  <c r="AB30" i="37"/>
  <c r="AS9" i="39" l="1"/>
  <c r="AQ9" i="39"/>
  <c r="AQ26" i="39" s="1"/>
  <c r="I9" i="39" s="1"/>
  <c r="G10" i="38"/>
  <c r="G31" i="38" s="1"/>
  <c r="AO9" i="39"/>
  <c r="AO26" i="39" s="1"/>
  <c r="E9" i="39" s="1"/>
  <c r="E10" i="38"/>
  <c r="E31" i="38" s="1"/>
  <c r="C12" i="38"/>
  <c r="D11" i="38"/>
  <c r="AT9" i="39"/>
  <c r="AT26" i="39" s="1"/>
  <c r="O9" i="39" s="1"/>
  <c r="J10" i="38"/>
  <c r="J31" i="38" s="1"/>
  <c r="AR9" i="39"/>
  <c r="AR26" i="39" s="1"/>
  <c r="K9" i="39" s="1"/>
  <c r="H10" i="38"/>
  <c r="H31" i="38" s="1"/>
  <c r="C11" i="38"/>
  <c r="I12" i="38"/>
  <c r="AS10" i="39" s="1"/>
  <c r="AM10" i="39" l="1"/>
  <c r="AU10" i="39" s="1" a="1"/>
  <c r="AU10" i="39" s="1"/>
  <c r="F12" i="38"/>
  <c r="AP10" i="39" s="1"/>
  <c r="AN9" i="39"/>
  <c r="AN26" i="39" s="1"/>
  <c r="C9" i="39" s="1"/>
  <c r="D10" i="38"/>
  <c r="D31" i="38" s="1"/>
  <c r="I10" i="38"/>
  <c r="I31" i="38" s="1"/>
  <c r="AM9" i="39"/>
  <c r="F11" i="38"/>
  <c r="C10" i="38"/>
  <c r="C31" i="38" s="1"/>
  <c r="AS26" i="39"/>
  <c r="M9" i="39" s="1"/>
  <c r="AP9" i="39" l="1"/>
  <c r="AP26" i="39" s="1"/>
  <c r="G9" i="39" s="1"/>
  <c r="F10" i="38"/>
  <c r="F31" i="38" s="1"/>
  <c r="AM26" i="39"/>
  <c r="A9" i="39" s="1"/>
  <c r="AU9" i="39" a="1"/>
  <c r="AU9"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<sst xmlns="http://schemas.openxmlformats.org/spreadsheetml/2006/main" count="6009" uniqueCount="1234">
  <si>
    <t>Type</t>
  </si>
  <si>
    <t>Value</t>
  </si>
  <si>
    <t>Low-Bleed</t>
  </si>
  <si>
    <t>High-Bleed</t>
  </si>
  <si>
    <t>Intermittent Bleed</t>
  </si>
  <si>
    <t>No-Bleed</t>
  </si>
  <si>
    <t>None</t>
  </si>
  <si>
    <t>Conversion Factor</t>
  </si>
  <si>
    <t>From</t>
  </si>
  <si>
    <t>To</t>
  </si>
  <si>
    <t>Descriptor</t>
  </si>
  <si>
    <t>scf/d/device</t>
  </si>
  <si>
    <t>lb</t>
  </si>
  <si>
    <t>kg</t>
  </si>
  <si>
    <t>"lb" to "kg"</t>
  </si>
  <si>
    <t>ton</t>
  </si>
  <si>
    <t>tonne</t>
  </si>
  <si>
    <t>"ton" to "tonne"</t>
  </si>
  <si>
    <t>scf</t>
  </si>
  <si>
    <t>Important: Data in the above table must be sorted alphabetically based on Column E.</t>
  </si>
  <si>
    <t>Production</t>
  </si>
  <si>
    <t>List</t>
  </si>
  <si>
    <t>Industry Segment</t>
  </si>
  <si>
    <t>Gas Processing</t>
  </si>
  <si>
    <t>Gas Transmission</t>
  </si>
  <si>
    <t>Gas Storage</t>
  </si>
  <si>
    <t>Gas Distribution</t>
  </si>
  <si>
    <t>C</t>
  </si>
  <si>
    <t>Subcategory</t>
  </si>
  <si>
    <t>Dehydrator Types</t>
  </si>
  <si>
    <t>All</t>
  </si>
  <si>
    <t>Not Applicable</t>
  </si>
  <si>
    <t>Crude Oil</t>
  </si>
  <si>
    <t>Substance</t>
  </si>
  <si>
    <t>Name</t>
  </si>
  <si>
    <t>Formula</t>
  </si>
  <si>
    <t>Molecular Weight</t>
  </si>
  <si>
    <t>Methane</t>
  </si>
  <si>
    <t>CH4</t>
  </si>
  <si>
    <t>(kg/m3)</t>
  </si>
  <si>
    <t>Standard Temperature</t>
  </si>
  <si>
    <t>Standard Pressure</t>
  </si>
  <si>
    <t>kPa</t>
  </si>
  <si>
    <t>CO2</t>
  </si>
  <si>
    <t>bbl</t>
  </si>
  <si>
    <r>
      <t>"scf/10</t>
    </r>
    <r>
      <rPr>
        <vertAlign val="superscript"/>
        <sz val="11"/>
        <color theme="1"/>
        <rFont val="Calibri"/>
        <family val="2"/>
        <scheme val="minor"/>
      </rPr>
      <t>6</t>
    </r>
    <r>
      <rPr>
        <sz val="11"/>
        <color theme="1"/>
        <rFont val="Calibri"/>
        <family val="2"/>
        <scheme val="minor"/>
      </rPr>
      <t xml:space="preserve"> scf gas processed" to "m</t>
    </r>
    <r>
      <rPr>
        <vertAlign val="superscript"/>
        <sz val="11"/>
        <color theme="1"/>
        <rFont val="Calibri"/>
        <family val="2"/>
        <scheme val="minor"/>
      </rPr>
      <t>3</t>
    </r>
    <r>
      <rPr>
        <sz val="11"/>
        <color theme="1"/>
        <rFont val="Calibri"/>
        <family val="2"/>
        <scheme val="minor"/>
      </rPr>
      <t>/10</t>
    </r>
    <r>
      <rPr>
        <vertAlign val="superscript"/>
        <sz val="11"/>
        <color theme="1"/>
        <rFont val="Calibri"/>
        <family val="2"/>
        <scheme val="minor"/>
      </rPr>
      <t>6</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 xml:space="preserve"> gas processed"</t>
    </r>
  </si>
  <si>
    <r>
      <t>"bbl" to "m</t>
    </r>
    <r>
      <rPr>
        <vertAlign val="superscript"/>
        <sz val="11"/>
        <color theme="1"/>
        <rFont val="Calibri"/>
        <family val="2"/>
        <scheme val="minor"/>
      </rPr>
      <t>3</t>
    </r>
    <r>
      <rPr>
        <sz val="11"/>
        <color theme="1"/>
        <rFont val="Calibri"/>
        <family val="2"/>
        <scheme val="minor"/>
      </rPr>
      <t>"</t>
    </r>
  </si>
  <si>
    <r>
      <t>"scf" to "m</t>
    </r>
    <r>
      <rPr>
        <vertAlign val="superscript"/>
        <sz val="11"/>
        <color theme="1"/>
        <rFont val="Calibri"/>
        <family val="2"/>
        <scheme val="minor"/>
      </rPr>
      <t>3</t>
    </r>
    <r>
      <rPr>
        <sz val="11"/>
        <color theme="1"/>
        <rFont val="Calibri"/>
        <family val="2"/>
        <scheme val="minor"/>
      </rPr>
      <t>"</t>
    </r>
  </si>
  <si>
    <r>
      <t>"scf/d/device" to "m</t>
    </r>
    <r>
      <rPr>
        <vertAlign val="superscript"/>
        <sz val="11"/>
        <color theme="1"/>
        <rFont val="Calibri"/>
        <family val="2"/>
        <scheme val="minor"/>
      </rPr>
      <t>3</t>
    </r>
    <r>
      <rPr>
        <sz val="11"/>
        <color theme="1"/>
        <rFont val="Calibri"/>
        <family val="2"/>
        <scheme val="minor"/>
      </rPr>
      <t>/d/device"</t>
    </r>
  </si>
  <si>
    <t>scf/y/source</t>
  </si>
  <si>
    <t>scf/activity-day</t>
  </si>
  <si>
    <t>scf/y/pipeline-mile</t>
  </si>
  <si>
    <t>scf/y/pipeline-km</t>
  </si>
  <si>
    <t>mile</t>
  </si>
  <si>
    <t>km</t>
  </si>
  <si>
    <t>"mile" to "km"</t>
  </si>
  <si>
    <r>
      <t>"scf/y/source" to "m</t>
    </r>
    <r>
      <rPr>
        <vertAlign val="superscript"/>
        <sz val="11"/>
        <color theme="1"/>
        <rFont val="Calibri"/>
        <family val="2"/>
        <scheme val="minor"/>
      </rPr>
      <t>3</t>
    </r>
    <r>
      <rPr>
        <sz val="11"/>
        <color theme="1"/>
        <rFont val="Calibri"/>
        <family val="2"/>
        <scheme val="minor"/>
      </rPr>
      <t>/y/source"</t>
    </r>
  </si>
  <si>
    <t>scf/activity</t>
  </si>
  <si>
    <t>"scf/activity" to "m3/activity"</t>
  </si>
  <si>
    <t>---</t>
  </si>
  <si>
    <r>
      <t>"scf/y/pipeline-mile" to "m</t>
    </r>
    <r>
      <rPr>
        <vertAlign val="superscript"/>
        <sz val="11"/>
        <color theme="1"/>
        <rFont val="Calibri"/>
        <family val="2"/>
        <scheme val="minor"/>
      </rPr>
      <t>3</t>
    </r>
    <r>
      <rPr>
        <sz val="11"/>
        <color theme="1"/>
        <rFont val="Calibri"/>
        <family val="2"/>
        <scheme val="minor"/>
      </rPr>
      <t>/y/pipeline-km"</t>
    </r>
  </si>
  <si>
    <t>Equipment Type</t>
  </si>
  <si>
    <t>(%)</t>
  </si>
  <si>
    <t>Valves</t>
  </si>
  <si>
    <t>Compressor Seals</t>
  </si>
  <si>
    <t>Connectors</t>
  </si>
  <si>
    <t>Sampling Connections</t>
  </si>
  <si>
    <t>Drains</t>
  </si>
  <si>
    <t>Compressor Crankcase Vent</t>
  </si>
  <si>
    <t>Regulators</t>
  </si>
  <si>
    <t>Others</t>
  </si>
  <si>
    <t>Modification</t>
  </si>
  <si>
    <t>Control Efficiency</t>
  </si>
  <si>
    <t>Pumps</t>
  </si>
  <si>
    <t>Sealless Design</t>
  </si>
  <si>
    <t>Dual Mechanical Seals With Barrier Fluid System</t>
  </si>
  <si>
    <t>Closed -vent System</t>
  </si>
  <si>
    <t>Pressure Relief Devices</t>
  </si>
  <si>
    <t>Closed-Vent System</t>
  </si>
  <si>
    <t>Rupture Disk Assembly</t>
  </si>
  <si>
    <t>Welded Together</t>
  </si>
  <si>
    <t>Open-Ended Lines</t>
  </si>
  <si>
    <t>Blind, Cap, Plug or Second Valve</t>
  </si>
  <si>
    <t>Sector</t>
  </si>
  <si>
    <t>Distribution</t>
  </si>
  <si>
    <t>Conversion Factor Look-up Table</t>
  </si>
  <si>
    <t>Facility Type  Look-up Table</t>
  </si>
  <si>
    <t>Compressor Station - Gas Gathering</t>
  </si>
  <si>
    <t>Field Dehydrator</t>
  </si>
  <si>
    <t>Sweet Gas Plant</t>
  </si>
  <si>
    <t>Sour Gas Plant</t>
  </si>
  <si>
    <t>Compressor Station</t>
  </si>
  <si>
    <t>Receipt Meter Station</t>
  </si>
  <si>
    <t>Storage Facility</t>
  </si>
  <si>
    <t>Leak Control Factor Look-up Table</t>
  </si>
  <si>
    <t>Pneumatic Supply Gas</t>
  </si>
  <si>
    <t>Compressed Air</t>
  </si>
  <si>
    <t>Natural Gas</t>
  </si>
  <si>
    <t>Standard Volume</t>
  </si>
  <si>
    <t>m3/kmol</t>
  </si>
  <si>
    <t>Hydrocarbon Liquids</t>
  </si>
  <si>
    <t>Light</t>
  </si>
  <si>
    <t>Heavy</t>
  </si>
  <si>
    <t>Medium</t>
  </si>
  <si>
    <t>Very Heavy</t>
  </si>
  <si>
    <t>tonnes CH4/y</t>
  </si>
  <si>
    <t>Column</t>
  </si>
  <si>
    <t>Type of Controllers</t>
  </si>
  <si>
    <t>Error Messages</t>
  </si>
  <si>
    <t>Units of Measure</t>
  </si>
  <si>
    <t>With Gas-Assisted Pump Emissions</t>
  </si>
  <si>
    <t>Emissions</t>
  </si>
  <si>
    <t>Activity</t>
  </si>
  <si>
    <t>Total:</t>
  </si>
  <si>
    <t>Without Gas-Assisted Pump Emissions</t>
  </si>
  <si>
    <t>Gas Density at STP</t>
  </si>
  <si>
    <t>Carbon Dioxide</t>
  </si>
  <si>
    <t>V</t>
  </si>
  <si>
    <t>°C</t>
  </si>
  <si>
    <r>
      <t>"tonnes CH</t>
    </r>
    <r>
      <rPr>
        <vertAlign val="subscript"/>
        <sz val="11"/>
        <color theme="1"/>
        <rFont val="Calibri"/>
        <family val="2"/>
        <scheme val="minor"/>
      </rPr>
      <t>4</t>
    </r>
    <r>
      <rPr>
        <sz val="11"/>
        <color theme="1"/>
        <rFont val="Calibri"/>
        <family val="2"/>
        <scheme val="minor"/>
      </rPr>
      <t>/bbl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</si>
  <si>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/d/source"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/d/source"</t>
    </r>
  </si>
  <si>
    <r>
      <t>"tonnes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</si>
  <si>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/1000 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</si>
  <si>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"scf/activity-day" to "m</t>
    </r>
    <r>
      <rPr>
        <vertAlign val="superscript"/>
        <sz val="11"/>
        <color theme="1"/>
        <rFont val="Calibri"/>
        <family val="2"/>
        <scheme val="minor"/>
      </rPr>
      <t>3</t>
    </r>
    <r>
      <rPr>
        <sz val="11"/>
        <color theme="1"/>
        <rFont val="Calibri"/>
        <family val="2"/>
        <scheme val="minor"/>
      </rPr>
      <t>/activity-day"</t>
    </r>
  </si>
  <si>
    <r>
      <t>"m3/hr/device" to "m</t>
    </r>
    <r>
      <rPr>
        <vertAlign val="superscript"/>
        <sz val="11"/>
        <color theme="1"/>
        <rFont val="Calibri"/>
        <family val="2"/>
        <scheme val="minor"/>
      </rPr>
      <t>3</t>
    </r>
    <r>
      <rPr>
        <sz val="11"/>
        <color theme="1"/>
        <rFont val="Calibri"/>
        <family val="2"/>
        <scheme val="minor"/>
      </rPr>
      <t>/d/device"</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</si>
  <si>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 to "tonnes CH</t>
    </r>
    <r>
      <rPr>
        <vertAlign val="subscript"/>
        <sz val="11"/>
        <color theme="1"/>
        <rFont val="Calibri"/>
        <family val="2"/>
        <scheme val="minor"/>
      </rPr>
      <t>4</t>
    </r>
    <r>
      <rPr>
        <sz val="11"/>
        <color theme="1"/>
        <rFont val="Calibri"/>
        <family val="2"/>
        <scheme val="minor"/>
      </rPr>
      <t>/y"</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</si>
  <si>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 to "tonnes CH</t>
    </r>
    <r>
      <rPr>
        <vertAlign val="subscript"/>
        <sz val="11"/>
        <color theme="1"/>
        <rFont val="Calibri"/>
        <family val="2"/>
        <scheme val="minor"/>
      </rPr>
      <t>4</t>
    </r>
    <r>
      <rPr>
        <sz val="11"/>
        <color theme="1"/>
        <rFont val="Calibri"/>
        <family val="2"/>
        <scheme val="minor"/>
      </rPr>
      <t>"</t>
    </r>
  </si>
  <si>
    <r>
      <t>"lb CH</t>
    </r>
    <r>
      <rPr>
        <vertAlign val="subscript"/>
        <sz val="11"/>
        <color theme="1"/>
        <rFont val="Calibri"/>
        <family val="2"/>
        <scheme val="minor"/>
      </rPr>
      <t>4</t>
    </r>
    <r>
      <rPr>
        <sz val="11"/>
        <color theme="1"/>
        <rFont val="Calibri"/>
        <family val="2"/>
        <scheme val="minor"/>
      </rPr>
      <t>"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t>
    </r>
  </si>
  <si>
    <t>Company Name:</t>
  </si>
  <si>
    <t>Ethane</t>
  </si>
  <si>
    <t>Propane</t>
  </si>
  <si>
    <t>iso-Butane</t>
  </si>
  <si>
    <t>iso-Pentane</t>
  </si>
  <si>
    <t>n-Pentane</t>
  </si>
  <si>
    <t>Hexane</t>
  </si>
  <si>
    <t>Heptane</t>
  </si>
  <si>
    <t>Octane</t>
  </si>
  <si>
    <t>Nonane</t>
  </si>
  <si>
    <t>Decane</t>
  </si>
  <si>
    <t>Hydrogen Sulphide</t>
  </si>
  <si>
    <t>Nitrogen</t>
  </si>
  <si>
    <t>Fuel Type</t>
  </si>
  <si>
    <t xml:space="preserve">Combusted </t>
  </si>
  <si>
    <t>(tonnes)</t>
  </si>
  <si>
    <t>Carbon Content</t>
  </si>
  <si>
    <t>Lower Heating Value</t>
  </si>
  <si>
    <t>(GJ/Tonne)</t>
  </si>
  <si>
    <t>Anthracite</t>
  </si>
  <si>
    <t>Lignite</t>
  </si>
  <si>
    <t>Cleaned Coal</t>
  </si>
  <si>
    <t>Other Washed Coal</t>
  </si>
  <si>
    <t>Coke</t>
  </si>
  <si>
    <t>Calculated</t>
  </si>
  <si>
    <t>Fuel Oil</t>
  </si>
  <si>
    <t>Gasoline</t>
  </si>
  <si>
    <t>Diesel</t>
  </si>
  <si>
    <t>Aviation Kerosene</t>
  </si>
  <si>
    <t>Common Kerosene</t>
  </si>
  <si>
    <t>Naphtha</t>
  </si>
  <si>
    <t>Petroleum Coke</t>
  </si>
  <si>
    <t>Solid Fuel Properties</t>
  </si>
  <si>
    <t>Liquid Fuel Properties</t>
  </si>
  <si>
    <t>Measured</t>
  </si>
  <si>
    <t>Engineering Judgement</t>
  </si>
  <si>
    <t>N2O</t>
  </si>
  <si>
    <t>Sales Meter Station</t>
  </si>
  <si>
    <t>Storage Well</t>
  </si>
  <si>
    <t>Sales Meter Station - Industrial</t>
  </si>
  <si>
    <t>Sales Meter Station - Commercial</t>
  </si>
  <si>
    <t>Sales Meter Station - Residential</t>
  </si>
  <si>
    <t>Pressure Regulator Station</t>
  </si>
  <si>
    <t>Reference Year:</t>
  </si>
  <si>
    <t>(MJ/m3)</t>
  </si>
  <si>
    <t>H</t>
  </si>
  <si>
    <t>S</t>
  </si>
  <si>
    <t>N</t>
  </si>
  <si>
    <t>O</t>
  </si>
  <si>
    <t>Higher Heating Value</t>
  </si>
  <si>
    <t>Default</t>
  </si>
  <si>
    <t>Gaseous Fuel Properties</t>
  </si>
  <si>
    <t>Liquid Petroleum Gas</t>
  </si>
  <si>
    <t>Liquefied Natural Gas</t>
  </si>
  <si>
    <t>Coke Oven Gas</t>
  </si>
  <si>
    <t>Blast Furnace Gas</t>
  </si>
  <si>
    <t>Converter Gas</t>
  </si>
  <si>
    <t>Gas of Calcium Carbide Furnace</t>
  </si>
  <si>
    <t>Other Coal Gases</t>
  </si>
  <si>
    <t>Solid Fuels</t>
  </si>
  <si>
    <t>Liquid Fuels</t>
  </si>
  <si>
    <t>Gaseous Fuels</t>
  </si>
  <si>
    <t>Source of Quantity</t>
  </si>
  <si>
    <t>Source of Property</t>
  </si>
  <si>
    <t>Density</t>
  </si>
  <si>
    <t>Gas Constant</t>
  </si>
  <si>
    <t>Composition (Atoms/Molecule)</t>
  </si>
  <si>
    <t>kg/kg</t>
  </si>
  <si>
    <t>Water</t>
  </si>
  <si>
    <t>Sulphur Dioxide</t>
  </si>
  <si>
    <t>Ideal Gas</t>
  </si>
  <si>
    <t>Liquid</t>
  </si>
  <si>
    <t>n</t>
  </si>
  <si>
    <t>m</t>
  </si>
  <si>
    <t>h</t>
  </si>
  <si>
    <t>j</t>
  </si>
  <si>
    <t>k</t>
  </si>
  <si>
    <t>Oxygen</t>
  </si>
  <si>
    <t>At Standard T</t>
  </si>
  <si>
    <t>(MJ/kmol)</t>
  </si>
  <si>
    <t>Liquid Density</t>
  </si>
  <si>
    <t>Error Code</t>
  </si>
  <si>
    <t>Error Message</t>
  </si>
  <si>
    <t>Error: This field must be completed.</t>
  </si>
  <si>
    <t>Error: either the Type or Source-of-Value field needs to be completed.</t>
  </si>
  <si>
    <t>Error: invalid or undefined process type for the specified industry segment.</t>
  </si>
  <si>
    <t>Error: the sum of the entered values must not exceed 100%.</t>
  </si>
  <si>
    <t>Err10</t>
  </si>
  <si>
    <t>Err01</t>
  </si>
  <si>
    <t>Err02</t>
  </si>
  <si>
    <t>Err03</t>
  </si>
  <si>
    <t>Err04</t>
  </si>
  <si>
    <t>Err05</t>
  </si>
  <si>
    <t>Err06</t>
  </si>
  <si>
    <t>Err07</t>
  </si>
  <si>
    <t>Err08</t>
  </si>
  <si>
    <t>Err09</t>
  </si>
  <si>
    <t>Reference</t>
  </si>
  <si>
    <t>2016 NCSC Guidelines</t>
  </si>
  <si>
    <t>(kg/kmol)</t>
  </si>
  <si>
    <t>Single-Well Battery - Extra Heavy Oil</t>
  </si>
  <si>
    <t>Single-Well Battery - Gas</t>
  </si>
  <si>
    <t>Single-Well Battery - Heavy Oil</t>
  </si>
  <si>
    <t>Single-Well Battery - Oil</t>
  </si>
  <si>
    <t>Group Battery - Extra Heavy Oil</t>
  </si>
  <si>
    <t>Group Battery - Gas</t>
  </si>
  <si>
    <t>Group Battery - Oil</t>
  </si>
  <si>
    <t>Group Battery - Heavy Oil</t>
  </si>
  <si>
    <t>Worksheet</t>
  </si>
  <si>
    <t>Row</t>
  </si>
  <si>
    <t>Active</t>
  </si>
  <si>
    <t>Chinese</t>
  </si>
  <si>
    <t>Table/Block</t>
  </si>
  <si>
    <t>A</t>
  </si>
  <si>
    <t>Title</t>
  </si>
  <si>
    <t>B</t>
  </si>
  <si>
    <t>CO2E</t>
  </si>
  <si>
    <t>D</t>
  </si>
  <si>
    <t>E</t>
  </si>
  <si>
    <t>F</t>
  </si>
  <si>
    <t>Record Name</t>
  </si>
  <si>
    <t>Field Heading</t>
  </si>
  <si>
    <t>行业部门</t>
  </si>
  <si>
    <t>G</t>
  </si>
  <si>
    <t>I</t>
  </si>
  <si>
    <t>J</t>
  </si>
  <si>
    <t>R</t>
  </si>
  <si>
    <t>公司名称：</t>
  </si>
  <si>
    <t>类型</t>
  </si>
  <si>
    <t>错误消息</t>
  </si>
  <si>
    <t/>
  </si>
  <si>
    <t>控制器类型</t>
  </si>
  <si>
    <t>Static Cell Value</t>
  </si>
  <si>
    <t>公吨</t>
  </si>
  <si>
    <t>M</t>
  </si>
  <si>
    <t>K</t>
  </si>
  <si>
    <t>L</t>
  </si>
  <si>
    <t>P</t>
  </si>
  <si>
    <t>Q</t>
  </si>
  <si>
    <t>低热值</t>
  </si>
  <si>
    <t>(GJ/公吨)</t>
  </si>
  <si>
    <t>无烟煤</t>
  </si>
  <si>
    <t>沥青</t>
  </si>
  <si>
    <t>褐煤</t>
  </si>
  <si>
    <t>精煤</t>
  </si>
  <si>
    <t>其他洗煤</t>
  </si>
  <si>
    <t>型煤</t>
  </si>
  <si>
    <t>焦炭</t>
  </si>
  <si>
    <t>石油焦炭</t>
  </si>
  <si>
    <t>原油</t>
  </si>
  <si>
    <t>燃油</t>
  </si>
  <si>
    <t>汽油</t>
  </si>
  <si>
    <t>柴油</t>
  </si>
  <si>
    <t>航空煤油</t>
  </si>
  <si>
    <t>普通煤油</t>
  </si>
  <si>
    <t>石脑油</t>
  </si>
  <si>
    <t>分子量</t>
  </si>
  <si>
    <t>液化石油气</t>
  </si>
  <si>
    <t>T</t>
  </si>
  <si>
    <t>U</t>
  </si>
  <si>
    <t>W</t>
  </si>
  <si>
    <t>X</t>
  </si>
  <si>
    <t>Y</t>
  </si>
  <si>
    <t>阀门</t>
  </si>
  <si>
    <t>连接器</t>
  </si>
  <si>
    <t xml:space="preserve">终端开路线 </t>
  </si>
  <si>
    <t>采样连接</t>
  </si>
  <si>
    <t>其他</t>
  </si>
  <si>
    <t>Nm3 CH4/h</t>
  </si>
  <si>
    <t>Nm3 CH4/y</t>
  </si>
  <si>
    <t>Nm3 CH4/d</t>
  </si>
  <si>
    <t>m3 CH4/d</t>
  </si>
  <si>
    <t>Nm3/y</t>
  </si>
  <si>
    <t>不适用</t>
  </si>
  <si>
    <t>高排放</t>
  </si>
  <si>
    <t>间歇排放</t>
  </si>
  <si>
    <t>列</t>
  </si>
  <si>
    <t>Constants</t>
  </si>
  <si>
    <t>Chemical Library</t>
  </si>
  <si>
    <t>At 15°C</t>
  </si>
  <si>
    <t>(kJ/(kg·°C)</t>
  </si>
  <si>
    <t>(kJ/kmol·°C)</t>
  </si>
  <si>
    <t>Miscellaneous Constants</t>
  </si>
  <si>
    <t>m3·kPa·kmole-1·°K-1</t>
  </si>
  <si>
    <t>Error Message (Active)</t>
  </si>
  <si>
    <t>Valid Options (Active)</t>
  </si>
  <si>
    <t>名称</t>
  </si>
  <si>
    <t>分子式</t>
  </si>
  <si>
    <t>成分</t>
  </si>
  <si>
    <t>甲烷</t>
  </si>
  <si>
    <t>乙烷</t>
  </si>
  <si>
    <t>丙烷</t>
  </si>
  <si>
    <t>异丁烷</t>
  </si>
  <si>
    <t>正丁烷</t>
  </si>
  <si>
    <t>异戊烷</t>
  </si>
  <si>
    <t>正戊烷</t>
  </si>
  <si>
    <t>己烷</t>
  </si>
  <si>
    <t>庚烷</t>
  </si>
  <si>
    <t>辛烷</t>
  </si>
  <si>
    <t>壬烷</t>
  </si>
  <si>
    <t>癸烷</t>
  </si>
  <si>
    <t>硫化氢</t>
  </si>
  <si>
    <t>二氧化碳</t>
  </si>
  <si>
    <t>氮气</t>
  </si>
  <si>
    <t>水</t>
  </si>
  <si>
    <t>氧</t>
  </si>
  <si>
    <t>二氧化硫</t>
  </si>
  <si>
    <t>液体</t>
  </si>
  <si>
    <t xml:space="preserve"> 理想气体</t>
  </si>
  <si>
    <t>(kg/千摩尔)</t>
  </si>
  <si>
    <t>标准温度</t>
  </si>
  <si>
    <t>标准压力</t>
  </si>
  <si>
    <t>标准容积</t>
  </si>
  <si>
    <t>m3/千摩尔</t>
  </si>
  <si>
    <t>气体常数</t>
  </si>
  <si>
    <t>在标准温度</t>
  </si>
  <si>
    <t>在15℃</t>
  </si>
  <si>
    <t>碳含量</t>
  </si>
  <si>
    <t>比热容量 (Cp)</t>
  </si>
  <si>
    <t>液体密度</t>
  </si>
  <si>
    <t>组成 (原子/分子)</t>
  </si>
  <si>
    <t>在气体密度 STP</t>
  </si>
  <si>
    <t>化学库</t>
  </si>
  <si>
    <t>其他常数</t>
  </si>
  <si>
    <t>液化天然气</t>
  </si>
  <si>
    <t>天然气</t>
  </si>
  <si>
    <t>Worksheet No.</t>
  </si>
  <si>
    <t>Table/Block No.</t>
  </si>
  <si>
    <t>(Nm3/kmol)</t>
  </si>
  <si>
    <t xml:space="preserve">Language </t>
  </si>
  <si>
    <t>中文</t>
  </si>
  <si>
    <t>Language</t>
  </si>
  <si>
    <t>英语/English</t>
  </si>
  <si>
    <t>无气体辅助泵排放</t>
  </si>
  <si>
    <t>有气体辅助泵排放</t>
  </si>
  <si>
    <t>压缩空气</t>
  </si>
  <si>
    <t>轻质</t>
  </si>
  <si>
    <t>中等</t>
  </si>
  <si>
    <t>重质</t>
  </si>
  <si>
    <t>非常重</t>
  </si>
  <si>
    <t>测量</t>
  </si>
  <si>
    <t>计算</t>
  </si>
  <si>
    <t>工程判断</t>
  </si>
  <si>
    <t>默认</t>
  </si>
  <si>
    <t>Bituminous</t>
  </si>
  <si>
    <t>Liquefied Petroleum Gas</t>
  </si>
  <si>
    <t>（吨）</t>
  </si>
  <si>
    <t>Lookup Tables</t>
  </si>
  <si>
    <t>压缩机站 - 集气</t>
  </si>
  <si>
    <t>酸气厂</t>
  </si>
  <si>
    <t>压缩机站</t>
  </si>
  <si>
    <t>脱硫厂</t>
  </si>
  <si>
    <t>现场脱水器</t>
  </si>
  <si>
    <t>接受仪表站</t>
  </si>
  <si>
    <t>存储井</t>
  </si>
  <si>
    <t>压力调节器站</t>
  </si>
  <si>
    <t>销售仪表站 - 工业</t>
  </si>
  <si>
    <t>销售仪表站 - 商用</t>
  </si>
  <si>
    <t>销售仪表站 - 住宅</t>
  </si>
  <si>
    <t>销售仪表站</t>
  </si>
  <si>
    <t>储存设施</t>
  </si>
  <si>
    <t>焦炭炉气</t>
  </si>
  <si>
    <t>化学转换器的气体</t>
  </si>
  <si>
    <t>排污</t>
  </si>
  <si>
    <t>设施类型查看表</t>
  </si>
  <si>
    <t>气体分配</t>
  </si>
  <si>
    <t>碳化鈣炉气</t>
  </si>
  <si>
    <t>气体加工处理</t>
  </si>
  <si>
    <t>气体储存</t>
  </si>
  <si>
    <t>气体輸送</t>
  </si>
  <si>
    <t>收集站 — 原油 特重原油</t>
  </si>
  <si>
    <t>收集站 — 气体</t>
  </si>
  <si>
    <t>收集站 — 重原油</t>
  </si>
  <si>
    <t>收集站 — 原油</t>
  </si>
  <si>
    <t>碳</t>
  </si>
  <si>
    <t>氢</t>
  </si>
  <si>
    <t>较高热值</t>
  </si>
  <si>
    <t>低排洩</t>
  </si>
  <si>
    <t>无排洩</t>
  </si>
  <si>
    <t>其他煤碳气</t>
  </si>
  <si>
    <t>参考年:</t>
  </si>
  <si>
    <t>单井集油站 — 特重原油</t>
  </si>
  <si>
    <t>单井收集站 — 天然气</t>
  </si>
  <si>
    <t>单井集油站 — 重原油</t>
  </si>
  <si>
    <t>单井集油站 — 原油</t>
  </si>
  <si>
    <t>总排放量</t>
  </si>
  <si>
    <t>生产</t>
  </si>
  <si>
    <t>鼓风炉</t>
  </si>
  <si>
    <t>转换因子查找表</t>
  </si>
  <si>
    <t>重要信息：上表中的数据必须按照E列字母顺序排列。</t>
  </si>
  <si>
    <t>泄漏控制因子查找表</t>
  </si>
  <si>
    <t>错误（代码）</t>
  </si>
  <si>
    <t>错误信息（当前）</t>
  </si>
  <si>
    <t>从</t>
  </si>
  <si>
    <t>至</t>
  </si>
  <si>
    <t>转换系数</t>
  </si>
  <si>
    <t>值</t>
  </si>
  <si>
    <t>描述符</t>
  </si>
  <si>
    <t>设备类型</t>
  </si>
  <si>
    <t>修正</t>
  </si>
  <si>
    <t>控制效率</t>
  </si>
  <si>
    <t>Translation Table</t>
  </si>
  <si>
    <t>语言</t>
  </si>
  <si>
    <t>工作表</t>
  </si>
  <si>
    <t>工作表号</t>
  </si>
  <si>
    <t>表/块</t>
  </si>
  <si>
    <t>行</t>
  </si>
  <si>
    <t>当前</t>
  </si>
  <si>
    <t>英文</t>
  </si>
  <si>
    <t>表/块号</t>
  </si>
  <si>
    <t>Error: the source of the composition values needs to be set.</t>
  </si>
  <si>
    <t>Briquette Coal</t>
  </si>
  <si>
    <t>Specific Heat Capacity (Cp)</t>
  </si>
  <si>
    <t>n-Butane</t>
  </si>
  <si>
    <t>Administrative Header</t>
  </si>
  <si>
    <t>Española (Colombia)</t>
  </si>
  <si>
    <t>错误信息</t>
  </si>
  <si>
    <t>错误：必须填写此字段.</t>
  </si>
  <si>
    <t>错误：需要填写类型或值源字段.</t>
  </si>
  <si>
    <t>错误：指定行业细分的流程类型无效或未定义.</t>
  </si>
  <si>
    <t>错误：输入值的总和不得超过 100%.</t>
  </si>
  <si>
    <t>错误：需要设置合成值的来源.</t>
  </si>
  <si>
    <t>Lookup Lists</t>
  </si>
  <si>
    <t>Valid Options</t>
  </si>
  <si>
    <t>有效选项</t>
  </si>
  <si>
    <t>列表</t>
  </si>
  <si>
    <t>有效选项（活动)</t>
  </si>
  <si>
    <t>脱水机类型</t>
  </si>
  <si>
    <t>语</t>
  </si>
  <si>
    <t>气体燃料</t>
  </si>
  <si>
    <t>液体燃料</t>
  </si>
  <si>
    <t>固体燃料</t>
  </si>
  <si>
    <t>财产来源</t>
  </si>
  <si>
    <t>数量的来源</t>
  </si>
  <si>
    <t>烃类液体</t>
  </si>
  <si>
    <t>气动供气</t>
  </si>
  <si>
    <t>没有任何</t>
  </si>
  <si>
    <t>封闭式通风系统</t>
  </si>
  <si>
    <t>带阻隔液系统的双机械密封</t>
  </si>
  <si>
    <t>焊接在一起</t>
  </si>
  <si>
    <t>盲、盖、塞或第二个阀门</t>
  </si>
  <si>
    <t>爆破片组件</t>
  </si>
  <si>
    <t>无密封设计</t>
  </si>
  <si>
    <t>压缩机曲轴箱通风口</t>
  </si>
  <si>
    <t>压缩机密封</t>
  </si>
  <si>
    <t>减压装置</t>
  </si>
  <si>
    <t>泵</t>
  </si>
  <si>
    <t>监管机构</t>
  </si>
  <si>
    <t>Nombre de Compañía:</t>
  </si>
  <si>
    <t>Año de Referencia:</t>
  </si>
  <si>
    <t>Segmento de la Industria</t>
  </si>
  <si>
    <t>(t)</t>
  </si>
  <si>
    <t>Valor</t>
  </si>
  <si>
    <t>Tipo</t>
  </si>
  <si>
    <t>Tipo de Controladores</t>
  </si>
  <si>
    <t>Poder Calorífico Inferior</t>
  </si>
  <si>
    <t>Contenido de Carbono</t>
  </si>
  <si>
    <t>(GJ/t)</t>
  </si>
  <si>
    <t>Antracita</t>
  </si>
  <si>
    <t>Lignito</t>
  </si>
  <si>
    <t>Carbón Limpio</t>
  </si>
  <si>
    <t>Otro Carbón Lavado</t>
  </si>
  <si>
    <t>Carbón en Briquetas</t>
  </si>
  <si>
    <t>Coque</t>
  </si>
  <si>
    <t>Coque de Petróleo</t>
  </si>
  <si>
    <t>Petróleo Crudo</t>
  </si>
  <si>
    <t>Combustóleo</t>
  </si>
  <si>
    <t>Gasolina</t>
  </si>
  <si>
    <t>Defecto</t>
  </si>
  <si>
    <t>Diésel</t>
  </si>
  <si>
    <t>Combustible de Aviación</t>
  </si>
  <si>
    <t>Queroseno Común</t>
  </si>
  <si>
    <t>Nafta</t>
  </si>
  <si>
    <t>Gas Licuado de Petróleo</t>
  </si>
  <si>
    <t>Gas Natural Licuado</t>
  </si>
  <si>
    <t>Gas Natural</t>
  </si>
  <si>
    <t>Gas de Horno de Coque</t>
  </si>
  <si>
    <t>Gas de Alto Horno</t>
  </si>
  <si>
    <t>Gas de Convertidor</t>
  </si>
  <si>
    <t>Gas de Horno de Carburo de Calcio</t>
  </si>
  <si>
    <t>Otros Gases de Carbón</t>
  </si>
  <si>
    <t>Peso Molecular</t>
  </si>
  <si>
    <t>Columna</t>
  </si>
  <si>
    <t>Válvulas</t>
  </si>
  <si>
    <t>Reguladores</t>
  </si>
  <si>
    <t>Conectores</t>
  </si>
  <si>
    <t>Líneas con Extremo Abierto</t>
  </si>
  <si>
    <t>Conexiones para Muestreo</t>
  </si>
  <si>
    <t>Drenes</t>
  </si>
  <si>
    <t>Otros</t>
  </si>
  <si>
    <t>Nm3 CH4/año</t>
  </si>
  <si>
    <t>Alta Purga</t>
  </si>
  <si>
    <t>Purga Intermitente</t>
  </si>
  <si>
    <t>Baja Purga</t>
  </si>
  <si>
    <t>Sin Purga</t>
  </si>
  <si>
    <t>No Aplicable</t>
  </si>
  <si>
    <t>Nm3/año</t>
  </si>
  <si>
    <t>Modificación</t>
  </si>
  <si>
    <t>Factor de Conversión</t>
  </si>
  <si>
    <t>Emisiones con Bomba Asistida a Gas</t>
  </si>
  <si>
    <t>Emisiones sin Bomba Asistida a Gas</t>
  </si>
  <si>
    <t>Biblioteca Química</t>
  </si>
  <si>
    <t>Sustancia</t>
  </si>
  <si>
    <t>Densidad de Gas a Condiciones Estándar</t>
  </si>
  <si>
    <t>Densidad de Líquido</t>
  </si>
  <si>
    <t>Calor Específico (Cp)</t>
  </si>
  <si>
    <t>Poder Calorífico Superior</t>
  </si>
  <si>
    <t>Composición (Átomos/Molécula)</t>
  </si>
  <si>
    <t>Nombre</t>
  </si>
  <si>
    <t>Fórmula</t>
  </si>
  <si>
    <t>A 15°C</t>
  </si>
  <si>
    <t>A T estándar</t>
  </si>
  <si>
    <t>Gas Ideal</t>
  </si>
  <si>
    <t>Líquido</t>
  </si>
  <si>
    <t>(kJ/kg°C)</t>
  </si>
  <si>
    <t>Metano</t>
  </si>
  <si>
    <t>Etano</t>
  </si>
  <si>
    <t>Propano</t>
  </si>
  <si>
    <t>Isobutano</t>
  </si>
  <si>
    <t>n-Butano</t>
  </si>
  <si>
    <t>Isopentano</t>
  </si>
  <si>
    <t>n-Pentano</t>
  </si>
  <si>
    <t>Hexano</t>
  </si>
  <si>
    <t>Heptano</t>
  </si>
  <si>
    <t>Octano</t>
  </si>
  <si>
    <t>Nonano</t>
  </si>
  <si>
    <t>Decano</t>
  </si>
  <si>
    <t>Sulfuro de Hidrógeno</t>
  </si>
  <si>
    <t>Dióxido de Carbono</t>
  </si>
  <si>
    <t>Nitrógeno</t>
  </si>
  <si>
    <t>Agua</t>
  </si>
  <si>
    <t>Dióxido de Azufre</t>
  </si>
  <si>
    <t>Oxígeno</t>
  </si>
  <si>
    <t>Constantes Misceláneas</t>
  </si>
  <si>
    <t>Temperatura Estándar</t>
  </si>
  <si>
    <t>Presión Estándar</t>
  </si>
  <si>
    <t>Volumen Estándar</t>
  </si>
  <si>
    <t>Constante de los Gases</t>
  </si>
  <si>
    <r>
      <t>m3kPakmol</t>
    </r>
    <r>
      <rPr>
        <vertAlign val="superscript"/>
        <sz val="11"/>
        <color rgb="FF000000"/>
        <rFont val="Calibri"/>
        <family val="2"/>
        <scheme val="minor"/>
      </rPr>
      <t>-1</t>
    </r>
    <r>
      <rPr>
        <sz val="11"/>
        <color rgb="FF000000"/>
        <rFont val="Calibri"/>
        <family val="2"/>
        <scheme val="minor"/>
      </rPr>
      <t>K</t>
    </r>
    <r>
      <rPr>
        <vertAlign val="superscript"/>
        <sz val="11"/>
        <color rgb="FF000000"/>
        <rFont val="Calibri"/>
        <family val="2"/>
        <scheme val="minor"/>
      </rPr>
      <t>-1</t>
    </r>
  </si>
  <si>
    <t>Tabla de Consulta de Factor de Conversión</t>
  </si>
  <si>
    <t>Importante: Los datos en la tabla arriba deben ordenarse alfabéticamente con base en la columna E.</t>
  </si>
  <si>
    <t>De</t>
  </si>
  <si>
    <t>Para</t>
  </si>
  <si>
    <t>Tabla de Consulta de Factor de Control</t>
  </si>
  <si>
    <t>Tipo de Equipo</t>
  </si>
  <si>
    <t>Eficiencia de Control</t>
  </si>
  <si>
    <t>Ventilación del cárter del compresor</t>
  </si>
  <si>
    <t>Sellos de compresor</t>
  </si>
  <si>
    <t>Dispositivos de alivio de presión</t>
  </si>
  <si>
    <t>Zapatillas</t>
  </si>
  <si>
    <t>Sistema de ventilación cerrada</t>
  </si>
  <si>
    <t>Ninguna</t>
  </si>
  <si>
    <t>Sellos mecánicos dobles con sistema de fluido de barrera</t>
  </si>
  <si>
    <t>Soldados Juntos</t>
  </si>
  <si>
    <t>Válvula ciega, tapa, tapón o segunda</t>
  </si>
  <si>
    <t>Conjunto de disco de ruptura</t>
  </si>
  <si>
    <t>Diseño sin sello</t>
  </si>
  <si>
    <t>Tabla de Consulta de Tipo de Instalación</t>
  </si>
  <si>
    <t>Producción</t>
  </si>
  <si>
    <t>Proceso de Gas</t>
  </si>
  <si>
    <t>Transporte de Gas</t>
  </si>
  <si>
    <t>Almacenamiento de Gas</t>
  </si>
  <si>
    <t>Distribución de Gas</t>
  </si>
  <si>
    <t>Estación de Compresión - Recolección de Gas</t>
  </si>
  <si>
    <t>Planta de Gas Amargo</t>
  </si>
  <si>
    <t>Estación de Compresión</t>
  </si>
  <si>
    <t>Instalación de Almacenamiento</t>
  </si>
  <si>
    <t>Estación de Regulación de Presión</t>
  </si>
  <si>
    <t>Deshidratador de Campo</t>
  </si>
  <si>
    <t>Planta de Gas Dulce</t>
  </si>
  <si>
    <t>Estación de Medición de Recibo</t>
  </si>
  <si>
    <t>Pozo de Almacenamiento</t>
  </si>
  <si>
    <t>Batería Grupal - Crudo Extra Pesado</t>
  </si>
  <si>
    <t>Estación de Medición a Ventas</t>
  </si>
  <si>
    <t>Estación de Medición a Ventas - Comercial</t>
  </si>
  <si>
    <t>Batería Grupal - Gas</t>
  </si>
  <si>
    <t>Estación de Medición a Ventas - Industrial</t>
  </si>
  <si>
    <t>Batería Grupal - Crudo Pesado</t>
  </si>
  <si>
    <t>Estación de Medición a Ventas - Residencial</t>
  </si>
  <si>
    <t>Batería Grupal - Crudo</t>
  </si>
  <si>
    <t>Batería de un Solo Pozo - Crudo Extra Pesado</t>
  </si>
  <si>
    <t>Batería de un Solo Pozo - Gas</t>
  </si>
  <si>
    <t>Batería de un Solo Pozo - Crudo Pesado</t>
  </si>
  <si>
    <t>Batería de un Solo Pozo - Crudo</t>
  </si>
  <si>
    <t>Mensajes de Error</t>
  </si>
  <si>
    <t>Código de Error</t>
  </si>
  <si>
    <t>Mensaje de Error (Activo)</t>
  </si>
  <si>
    <t>Mensaje de Error</t>
  </si>
  <si>
    <t>Error: Este campo debe ser completado.</t>
  </si>
  <si>
    <t>Error: se debe completar el campo Tipo o Fuente de valor.</t>
  </si>
  <si>
    <t>Error: tipo de proceso inválido o indefinido para el segmento de industria especificado.</t>
  </si>
  <si>
    <t>Error: la suma de los valores ingresados no debe exceder el 100%.</t>
  </si>
  <si>
    <t>Error: es necesario establecer la fuente de los valores de composición.</t>
  </si>
  <si>
    <t>Lista</t>
  </si>
  <si>
    <t>Opciones Válidas (Activas)</t>
  </si>
  <si>
    <t>Opciones Válidas</t>
  </si>
  <si>
    <t>Tipos de deshidratadores</t>
  </si>
  <si>
    <t>Suministro neumático de gas</t>
  </si>
  <si>
    <t>Aire comprimido</t>
  </si>
  <si>
    <t>Hidrocarburo Líquido</t>
  </si>
  <si>
    <t>Ligero</t>
  </si>
  <si>
    <t>Medio</t>
  </si>
  <si>
    <t>Pesado</t>
  </si>
  <si>
    <t>Muy Pesado</t>
  </si>
  <si>
    <t>Fuente de cantidad</t>
  </si>
  <si>
    <t>Juicio de Ingeniería</t>
  </si>
  <si>
    <t>Calculado</t>
  </si>
  <si>
    <t>Medido</t>
  </si>
  <si>
    <t>Fuente de Propiedad</t>
  </si>
  <si>
    <t>Combustibles sólidos</t>
  </si>
  <si>
    <t>Combustibles Líquidos</t>
  </si>
  <si>
    <t>Combustibles gaseosos</t>
  </si>
  <si>
    <t>Idioma</t>
  </si>
  <si>
    <t>Hoja</t>
  </si>
  <si>
    <t>Hoja No.</t>
  </si>
  <si>
    <t>Tabla/Bloque</t>
  </si>
  <si>
    <t>No. Tabla/Bloque</t>
  </si>
  <si>
    <t>Fila</t>
  </si>
  <si>
    <t>Activo</t>
  </si>
  <si>
    <t>Inglés</t>
  </si>
  <si>
    <t>Chino</t>
  </si>
  <si>
    <t>Spanish (Colombia)</t>
  </si>
  <si>
    <t>西班牙語（哥倫比亞）</t>
  </si>
  <si>
    <t>Which language would you like to pick?</t>
  </si>
  <si>
    <t>Español (Colombia)</t>
  </si>
  <si>
    <t>“bbl”到“m3”</t>
  </si>
  <si>
    <t>“lb CH4”到“m3 CH4”</t>
  </si>
  <si>
    <t>“磅”到“公斤”</t>
  </si>
  <si>
    <t>“m3/hr/device”到“m3/d/device”</t>
  </si>
  <si>
    <t>“英里”到“公里”</t>
  </si>
  <si>
    <t>“scf”到“m3”</t>
  </si>
  <si>
    <t>“scf/106 scf 气体处理”到“m3/106 m3 气体处理”</t>
  </si>
  <si>
    <t>“scf/活动”到“m3/活动”</t>
  </si>
  <si>
    <t>“scf/activity-day”到“m3/activity-day”</t>
  </si>
  <si>
    <t>“scf/d/device”到“m3/d/device”</t>
  </si>
  <si>
    <t>“scf/y/pipeline-mile”到“m3/y/pipeline-km”</t>
  </si>
  <si>
    <t>“scf/y/source”到“m3/y/source”</t>
  </si>
  <si>
    <t>“吨”到“吨”</t>
  </si>
  <si>
    <t>“吨 CH4/1000 桶液体”至“m3 CH4/m3 液体”</t>
  </si>
  <si>
    <t>"吨 CH4/bbl 液体" 到 "m3 CH4/m3 液体"</t>
  </si>
  <si>
    <t>“吨 CH4/d/源”至“m3 CH4/d/源”</t>
  </si>
  <si>
    <t>"吨 CH4/m3 液体" 至 "m3 CH4/m3 液体"</t>
  </si>
  <si>
    <t>没有</t>
  </si>
  <si>
    <t>m3</t>
  </si>
  <si>
    <t>m3 CH4</t>
  </si>
  <si>
    <t>tonnes CH4</t>
  </si>
  <si>
    <t>m3/d/device</t>
  </si>
  <si>
    <t>m3/106 m3 gas processed</t>
  </si>
  <si>
    <t>m3/activity</t>
  </si>
  <si>
    <t>m3/activity-day</t>
  </si>
  <si>
    <t>m3/y/source</t>
  </si>
  <si>
    <t>m3 CH4/m3 of Liquid</t>
  </si>
  <si>
    <t>m3 CH4/d/source</t>
  </si>
  <si>
    <t>toneladas de CH4</t>
  </si>
  <si>
    <t>toneladas CH4/año</t>
  </si>
  <si>
    <t>m3/d/aparato</t>
  </si>
  <si>
    <t>m3/106 m3 gas procesado</t>
  </si>
  <si>
    <t>m3/actividad</t>
  </si>
  <si>
    <t>m3/actividad-día</t>
  </si>
  <si>
    <t>tonelada</t>
  </si>
  <si>
    <t>m3 CH4/m3 de Líquido</t>
  </si>
  <si>
    <t>m3 CH4/d/fuente</t>
  </si>
  <si>
    <t>立方米</t>
  </si>
  <si>
    <t>立方米 CH4</t>
  </si>
  <si>
    <t>公斤</t>
  </si>
  <si>
    <t>吨 CH4</t>
  </si>
  <si>
    <t>吨 CH4/年</t>
  </si>
  <si>
    <t>m3/d/设备</t>
  </si>
  <si>
    <t>公里</t>
  </si>
  <si>
    <t>m3/106 m3 气体处理</t>
  </si>
  <si>
    <t>立方米/活动</t>
  </si>
  <si>
    <t>立方米/活动日</t>
  </si>
  <si>
    <t>scf/y/管道公里</t>
  </si>
  <si>
    <t>立方米/年/来源</t>
  </si>
  <si>
    <t>m3 CH4/m3 液体</t>
  </si>
  <si>
    <t>m3 CH4/d/源</t>
  </si>
  <si>
    <t>de "bbl" a "m3"</t>
  </si>
  <si>
    <t>de "lb CH4" a "m3 CH4"</t>
  </si>
  <si>
    <t>de "lb" a "kg"</t>
  </si>
  <si>
    <t>de "m3 CH4" a "toneladas CH4"</t>
  </si>
  <si>
    <t>de "m3/h/dispositivo" a "m3/d/dispositivo"</t>
  </si>
  <si>
    <t>de "milla" a "km"</t>
  </si>
  <si>
    <t>de "scf" a "m3"</t>
  </si>
  <si>
    <t>de "scf/106 scf gas procesado" a "m3/106 m3 gas procesado"</t>
  </si>
  <si>
    <t>de "scf/actividad" a "m3/actividad"</t>
  </si>
  <si>
    <t>de "scf/actividad-día" a "m3/actividad-día"</t>
  </si>
  <si>
    <t>de "scf/d/dispositivo" a "m3/d/dispositivo"</t>
  </si>
  <si>
    <t>de "tonelada" a "toneladas"</t>
  </si>
  <si>
    <t>de "toneladas CH4/1000 bbl de líquido" a "m3 CH4/m3 de líquido"</t>
  </si>
  <si>
    <t>de "toneladas CH4/bbl de líquido" a "m3 CH4/m3 de líquido"</t>
  </si>
  <si>
    <t>de "toneladas CH4/d/fuente" a "m3 CH4/d/fuente"</t>
  </si>
  <si>
    <t>de "toneladas CH4/m3 de Líquido" a "m3 CH4/m3 de Líquido"</t>
  </si>
  <si>
    <t>Nada</t>
  </si>
  <si>
    <t>de "m3 CH4/d" a "toneladas CH4/año"</t>
  </si>
  <si>
    <t>scf/año/tubería-km</t>
  </si>
  <si>
    <t>de "scf/año/tubería-milla" a "m3/año/tubería-km"</t>
  </si>
  <si>
    <t>de "scf/año/fuente" a "m3/año/fuente"</t>
  </si>
  <si>
    <t>m3/año/fuente</t>
  </si>
  <si>
    <t>lb CH4</t>
  </si>
  <si>
    <t>m3/hr/device</t>
  </si>
  <si>
    <t>scf/106 scf gas processed</t>
  </si>
  <si>
    <t>tonnes CH4/1000 bbl of Liquid</t>
  </si>
  <si>
    <t>tonnes CH4/bbl of Liquid</t>
  </si>
  <si>
    <t>tonnes CH4/d/source</t>
  </si>
  <si>
    <t>tonnes CH4/m3 of Liquid</t>
  </si>
  <si>
    <t>m3/h/dispositivo</t>
  </si>
  <si>
    <t>milla</t>
  </si>
  <si>
    <t>scf/106 scf gas procesado</t>
  </si>
  <si>
    <t>scf/actividad</t>
  </si>
  <si>
    <t>scf/actividad-día</t>
  </si>
  <si>
    <t>scf/d/dispositivo</t>
  </si>
  <si>
    <t>scf/año/tubería-milla</t>
  </si>
  <si>
    <t>scf/año/fuente</t>
  </si>
  <si>
    <t>toneladas CH4/1000 bbl de líquido</t>
  </si>
  <si>
    <t>toneladas CH4/bbl de líquido</t>
  </si>
  <si>
    <t>toneladas CH4/d/fuente</t>
  </si>
  <si>
    <t>toneladas CH4/m3 de Líquido</t>
  </si>
  <si>
    <t>气泡</t>
  </si>
  <si>
    <t>磅 CH4</t>
  </si>
  <si>
    <t>磅</t>
  </si>
  <si>
    <t>立方米 CH4/d</t>
  </si>
  <si>
    <t>立方米/小时/设备</t>
  </si>
  <si>
    <t>英里</t>
  </si>
  <si>
    <t>scf/106 scf 气体处理</t>
  </si>
  <si>
    <t>scf/活动</t>
  </si>
  <si>
    <t>scf/活动日</t>
  </si>
  <si>
    <t>scf/d/设备</t>
  </si>
  <si>
    <t>scf/y/管道英里</t>
  </si>
  <si>
    <t>scf/y/来源</t>
  </si>
  <si>
    <t>吨</t>
  </si>
  <si>
    <t>吨 CH4/1000 桶液体</t>
  </si>
  <si>
    <t>吨 CH4/桶液体</t>
  </si>
  <si>
    <t>吨 CH4/d/源</t>
  </si>
  <si>
    <t>吨 CH4/m3 液体</t>
  </si>
  <si>
    <t>”m3 CH4" 到 "吨 CH4”</t>
  </si>
  <si>
    <t>”m3 CH4/d" 到 "吨 CH4/y”</t>
  </si>
  <si>
    <t>Nm3/h</t>
  </si>
  <si>
    <t>Nm3/d</t>
  </si>
  <si>
    <t>Bituminosa</t>
  </si>
  <si>
    <t>API Compendium (2021) Table 3-8</t>
  </si>
  <si>
    <t>Propane (liquid)</t>
  </si>
  <si>
    <t>丙烷（液體）</t>
  </si>
  <si>
    <t>Propano (líquido)</t>
  </si>
  <si>
    <t>Introduction:</t>
  </si>
  <si>
    <t>Language Options:</t>
  </si>
  <si>
    <t>This tool currently supports English, Mandarin Chinese and Spanish. The language of choice may be selected using the selection feature presented at the top of this worksheet.</t>
  </si>
  <si>
    <t>Navigation and Colour Coding Rules:</t>
  </si>
  <si>
    <t>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t>
  </si>
  <si>
    <t>Introduction</t>
  </si>
  <si>
    <t xml:space="preserve">Additional information on this spreadsheet tool is provided in the user's manual. </t>
  </si>
  <si>
    <t>Applied Assessment Methodology:</t>
  </si>
  <si>
    <t>Introducción:</t>
  </si>
  <si>
    <t xml:space="preserve">Puede encontrarse más información acerca de esta herramienta de hoja de cálculo en el manual de usuario. </t>
  </si>
  <si>
    <t>Opciones de Idioma:</t>
  </si>
  <si>
    <t>Esta herramienta actualmente puede utilizarse en inglés, chino mandarín y español. El idioma de elección debe indicarse utilizando la opción de selección presentada en la parte superior de esta hoja de trabajo.</t>
  </si>
  <si>
    <t>Reglas para Navegación y Código de Colores:</t>
  </si>
  <si>
    <t>Todas las celdas que requieren ya sea información introducida por el usuario o que contienen información que el usuario puede cambiar, se encuentran resaltadas en amarillo. El resto de las celdas están protegidas por una contraseña para evitar que las fórmulas para cálculo puedan ser dañadas o borradas involuntariamente, así como para evitar que se superponga información en celdas con datos críticos.</t>
  </si>
  <si>
    <t>Metodología de Estimación Aplicada:</t>
  </si>
  <si>
    <t>评估结果按主要来源类别和温室气体类型汇总在“结果 - 总排放量”工作表中。</t>
  </si>
  <si>
    <t>用户手册中提供了有关此电子表格工具的其他信息。</t>
  </si>
  <si>
    <t>语言选项：</t>
  </si>
  <si>
    <t>该工具目前支持英语、普通话和西班牙语。 可以使用此工作表顶部显示的选择功能来选择选择的语言。</t>
  </si>
  <si>
    <t>导航和颜色编码规则：</t>
  </si>
  <si>
    <t>所有需要用户输入信息或包含用户可能更改的信息的单元格都以黄色突出显示。 所有其他单元格均受密码保护，以防止计算公式被意外损坏或擦除，并防止关键信息被覆盖。</t>
  </si>
  <si>
    <t>应用评估方法：</t>
  </si>
  <si>
    <t>介绍:</t>
  </si>
  <si>
    <t>Country Flags</t>
  </si>
  <si>
    <t>Country</t>
  </si>
  <si>
    <t>Flags</t>
  </si>
  <si>
    <t>EspañolColombia</t>
  </si>
  <si>
    <t>English</t>
  </si>
  <si>
    <t>Language:</t>
  </si>
  <si>
    <t>语言:</t>
  </si>
  <si>
    <t>您想选择哪种语言？</t>
  </si>
  <si>
    <t>¿Qué idioma te gustaría elegir?</t>
  </si>
  <si>
    <t>Idioma:</t>
  </si>
  <si>
    <t>Tab Name</t>
  </si>
  <si>
    <t>Translated Tab Name</t>
  </si>
  <si>
    <t>Nombre de la pestaña</t>
  </si>
  <si>
    <t>选项卡名称</t>
  </si>
  <si>
    <t>翻译的选项卡名称</t>
  </si>
  <si>
    <t>Nombre de pestaña traducido</t>
  </si>
  <si>
    <t>Hyperlink</t>
  </si>
  <si>
    <t>超链接</t>
  </si>
  <si>
    <t>Hipervínculo</t>
  </si>
  <si>
    <t>Go To Sheet</t>
  </si>
  <si>
    <t>Ir a la hoja</t>
  </si>
  <si>
    <t>转到工作表</t>
  </si>
  <si>
    <t>选项卡名称表</t>
  </si>
  <si>
    <t>Tabla de nombres de pestañas</t>
  </si>
  <si>
    <t>Gas Turbine</t>
  </si>
  <si>
    <t>Application Type</t>
  </si>
  <si>
    <t>Gas Recip. Engine (2-Stroke Lean-Burn)</t>
  </si>
  <si>
    <t>Gas Recip. Engine (4-Stroke Lean-Burn)</t>
  </si>
  <si>
    <t>Gas Recip. Engine (4-Stroke Rich-Burn)</t>
  </si>
  <si>
    <t>lb/mmBTU</t>
  </si>
  <si>
    <t>Heaters &amp; Boilers</t>
  </si>
  <si>
    <t>Heaters &amp; Boilers (Low-NOx)</t>
  </si>
  <si>
    <t>lb/mmscf</t>
  </si>
  <si>
    <t>tonnes/GJ</t>
  </si>
  <si>
    <t>"lb/mmBTU" to "tonnes/GJ"</t>
  </si>
  <si>
    <t>g/ton</t>
  </si>
  <si>
    <t>tonne/tonne</t>
  </si>
  <si>
    <t>"g/ton" to "tonne/tonne"</t>
  </si>
  <si>
    <t>US EPA (2016)</t>
  </si>
  <si>
    <t>g/scf</t>
  </si>
  <si>
    <t>GJ/y</t>
  </si>
  <si>
    <t>(tonnes/y)</t>
  </si>
  <si>
    <t>(tonnes/10^3 Nm3)</t>
  </si>
  <si>
    <t>(公吨/10^3 Nm3)</t>
  </si>
  <si>
    <t>(t/10^3 Nm3)</t>
  </si>
  <si>
    <t>(GJ/10^3 Nm3)</t>
  </si>
  <si>
    <t>(GJ/10^3 m3)</t>
  </si>
  <si>
    <t>kg/Nm3</t>
  </si>
  <si>
    <t>"g/scf" to "kg/Nm3"</t>
  </si>
  <si>
    <t>General literature.</t>
  </si>
  <si>
    <t>No Data</t>
  </si>
  <si>
    <t>Error: the source of the input value needs to be set in Column G.</t>
  </si>
  <si>
    <t>错误：需要在 G 列设置输入值的来源.</t>
  </si>
  <si>
    <t>Error: la fuente del valor de entrada debe establecerse en la columna G.</t>
  </si>
  <si>
    <t>Tipo de aplicacion</t>
  </si>
  <si>
    <t>申请类型</t>
  </si>
  <si>
    <t>燃气轮机</t>
  </si>
  <si>
    <t>Turbina de gas</t>
  </si>
  <si>
    <t>Receta de gasolina Motor (2 tiempos de mezcla pobre)</t>
  </si>
  <si>
    <t>Receta de gasolina Motor (4 tiempos de mezcla pobre)</t>
  </si>
  <si>
    <t>气体接收。发动机（2 冲程稀薄燃烧</t>
  </si>
  <si>
    <t>气体接收。发动机（4 冲程稀薄燃烧</t>
  </si>
  <si>
    <t>气体接收。发动机（4 冲程富燃)</t>
  </si>
  <si>
    <t>Receta de gasolina Motor (4 tiempos Rich-Burn)</t>
  </si>
  <si>
    <t>Calentadores y Calderas</t>
  </si>
  <si>
    <t>加热器和锅炉</t>
  </si>
  <si>
    <t>加热器和锅炉（低氮氧化物)</t>
  </si>
  <si>
    <t>Calentadores y Calderas (Bajo NOx)</t>
  </si>
  <si>
    <t>(公斤/立方米)</t>
  </si>
  <si>
    <t>兆焦耳/立方米</t>
  </si>
  <si>
    <t>tonne/10^3 m3</t>
  </si>
  <si>
    <t>"lb/mmscf" to "tonne/10^3 m3"</t>
  </si>
  <si>
    <t>kg/h</t>
  </si>
  <si>
    <t>tonnes/d</t>
  </si>
  <si>
    <t>tonnes/mo</t>
  </si>
  <si>
    <t>tonnes/y</t>
  </si>
  <si>
    <t>m3/h</t>
  </si>
  <si>
    <t>bbl/d</t>
  </si>
  <si>
    <t>bbl/mo</t>
  </si>
  <si>
    <t>bbl/y</t>
  </si>
  <si>
    <t>usg/h</t>
  </si>
  <si>
    <t>GJ/h</t>
  </si>
  <si>
    <t>GJ/d</t>
  </si>
  <si>
    <t>GJ/mo</t>
  </si>
  <si>
    <t>mmbtu/h</t>
  </si>
  <si>
    <t>mmbtu/d</t>
  </si>
  <si>
    <t>mmbtu/mo</t>
  </si>
  <si>
    <t>mmbtu/y</t>
  </si>
  <si>
    <t>tonne/y</t>
  </si>
  <si>
    <t>tonelada/y</t>
  </si>
  <si>
    <t>mmscf/h</t>
  </si>
  <si>
    <t>mmscf/d</t>
  </si>
  <si>
    <t>mmscf/mo</t>
  </si>
  <si>
    <t>mmscf/y</t>
  </si>
  <si>
    <t>m^3/h</t>
  </si>
  <si>
    <t>m^3/d</t>
  </si>
  <si>
    <t>m^3/mo</t>
  </si>
  <si>
    <t>m^3/y</t>
  </si>
  <si>
    <t>E+03 sm^3/d</t>
  </si>
  <si>
    <t>E+03 sm^3/mo</t>
  </si>
  <si>
    <t>E+03 sm^3/y</t>
  </si>
  <si>
    <t>sm^3/d</t>
  </si>
  <si>
    <t>sm^3/mo</t>
  </si>
  <si>
    <t>sm^3/y</t>
  </si>
  <si>
    <t>sm^3/h</t>
  </si>
  <si>
    <t>Total Emissions Charts</t>
  </si>
  <si>
    <t>Total Emissions</t>
  </si>
  <si>
    <t>Emisiones totales</t>
  </si>
  <si>
    <t>"Nm3/d" to "Nm3/h"</t>
  </si>
  <si>
    <t>"Nm3/y" to "Nm3/h"</t>
  </si>
  <si>
    <t>"Nm3 CH4/h" to "Nm3 CH4/h"</t>
  </si>
  <si>
    <t>"Nm3 CH4/d" to "Nm3 CH4/h"</t>
  </si>
  <si>
    <t>"Nm3 CH4/y" to "Nm3 CH4/h"</t>
  </si>
  <si>
    <t>"kg/h" to "tonne/y"</t>
  </si>
  <si>
    <t>"tonnes/d" to "tonne/y"</t>
  </si>
  <si>
    <t>"tonnes/mo" to "tonne/y"</t>
  </si>
  <si>
    <t>"tonnes/y" to "tonne/y"</t>
  </si>
  <si>
    <t>"GJ/h" to "GJ/y"</t>
  </si>
  <si>
    <t>"GJ/d" to "GJ/y"</t>
  </si>
  <si>
    <t>"GJ/mo" to "GJ/y"</t>
  </si>
  <si>
    <t>"GJ/y" to "GJ/y"</t>
  </si>
  <si>
    <t>"mmbtu/h" to "GJ/y"</t>
  </si>
  <si>
    <t>"mmbtu/d" to "GJ/y"</t>
  </si>
  <si>
    <t>"mmbtu/mo" to "GJ/y"</t>
  </si>
  <si>
    <t>"mmbtu/y" to "GJ/y"</t>
  </si>
  <si>
    <t>"m^3/h" to "m3/h"</t>
  </si>
  <si>
    <t>"m^3/d" to "m3/h"</t>
  </si>
  <si>
    <t>"m^3/mo" to "m3/h"</t>
  </si>
  <si>
    <t>"m^3/y" to "m3/h"</t>
  </si>
  <si>
    <t>"usga/h" tp "m3/h"</t>
  </si>
  <si>
    <t>"bbl/d" to "m3/h"</t>
  </si>
  <si>
    <t>"bbl/mo" to "m3/h"</t>
  </si>
  <si>
    <t>"bbl/y" to "m3/h"</t>
  </si>
  <si>
    <t>"sm^3/h" to "Nm3/h"</t>
  </si>
  <si>
    <t>"sm^3/d" to "Nm3/h"</t>
  </si>
  <si>
    <t>"sm^3/mo" to "Nm3/h"</t>
  </si>
  <si>
    <t>"sm^3/y" to "Nm3/h"</t>
  </si>
  <si>
    <t>"mmscf/h" to "Nm3/h"</t>
  </si>
  <si>
    <t>"mmscf/d" to "Nm3/h"</t>
  </si>
  <si>
    <t>"mmscf/mo" to "Nm3/h"</t>
  </si>
  <si>
    <t>"mmscf/y" to "Nm3/h"</t>
  </si>
  <si>
    <t>"E+03 sm^3/d" to "Nm3/h"</t>
  </si>
  <si>
    <t>"E+03 sm^3/mo" to "Nm3/h"</t>
  </si>
  <si>
    <t>"E+03 sm^3/y" to "Nm3/h"</t>
  </si>
  <si>
    <t>sm^3  CH4/h</t>
  </si>
  <si>
    <t>sm^3  CH4/d</t>
  </si>
  <si>
    <t>sm^3  CH4/mo</t>
  </si>
  <si>
    <t>sm^3  CH4/y</t>
  </si>
  <si>
    <t>mmscf  CH4/h</t>
  </si>
  <si>
    <t>mmscf  CH4/d</t>
  </si>
  <si>
    <t>mmscf  CH4/mo</t>
  </si>
  <si>
    <t>mmscf  CH4/y</t>
  </si>
  <si>
    <t>"sm^3 CH4/h" to "Nm3 CH4/h"</t>
  </si>
  <si>
    <t>"mmscf CH4/h" to "Nm3 CH4/h"</t>
  </si>
  <si>
    <t>"mmscf CH4/d" to "Nm3 CH4/h"</t>
  </si>
  <si>
    <t>"mmscf CH4/mo" to "Nm3 CH4/h"</t>
  </si>
  <si>
    <t>"mmscf CH4/y" to "Nm3 CH4/h"</t>
  </si>
  <si>
    <t>"sm^3 CH4/d" to "Nm3 CH4/h"</t>
  </si>
  <si>
    <t>"sm^3 CH4/mo" to "Nm3 CH4/h"</t>
  </si>
  <si>
    <t>"sm^3 CH4/y" to "Nm3 CH4/h"</t>
  </si>
  <si>
    <t>How To Use This Tool</t>
  </si>
  <si>
    <t>Cell Styles</t>
  </si>
  <si>
    <t>Warning</t>
  </si>
  <si>
    <t>Input Cell</t>
  </si>
  <si>
    <t>Description</t>
  </si>
  <si>
    <r>
      <t>CH</t>
    </r>
    <r>
      <rPr>
        <vertAlign val="subscript"/>
        <sz val="11"/>
        <color theme="1"/>
        <rFont val="Arial Narrow"/>
        <family val="2"/>
      </rPr>
      <t>4</t>
    </r>
  </si>
  <si>
    <r>
      <t>C</t>
    </r>
    <r>
      <rPr>
        <vertAlign val="subscript"/>
        <sz val="11"/>
        <color theme="1"/>
        <rFont val="Arial Narrow"/>
        <family val="2"/>
      </rPr>
      <t>2</t>
    </r>
    <r>
      <rPr>
        <sz val="11"/>
        <color theme="1"/>
        <rFont val="Arial Narrow"/>
        <family val="2"/>
      </rPr>
      <t>H</t>
    </r>
    <r>
      <rPr>
        <vertAlign val="subscript"/>
        <sz val="11"/>
        <color theme="1"/>
        <rFont val="Arial Narrow"/>
        <family val="2"/>
      </rPr>
      <t>6</t>
    </r>
  </si>
  <si>
    <r>
      <t>C</t>
    </r>
    <r>
      <rPr>
        <vertAlign val="subscript"/>
        <sz val="11"/>
        <color theme="1"/>
        <rFont val="Arial Narrow"/>
        <family val="2"/>
      </rPr>
      <t>3</t>
    </r>
    <r>
      <rPr>
        <sz val="11"/>
        <color theme="1"/>
        <rFont val="Arial Narrow"/>
        <family val="2"/>
      </rPr>
      <t>H</t>
    </r>
    <r>
      <rPr>
        <vertAlign val="subscript"/>
        <sz val="11"/>
        <color theme="1"/>
        <rFont val="Arial Narrow"/>
        <family val="2"/>
      </rPr>
      <t>8</t>
    </r>
  </si>
  <si>
    <r>
      <t>C</t>
    </r>
    <r>
      <rPr>
        <vertAlign val="subscript"/>
        <sz val="11"/>
        <color theme="1"/>
        <rFont val="Arial Narrow"/>
        <family val="2"/>
      </rPr>
      <t>4</t>
    </r>
    <r>
      <rPr>
        <sz val="11"/>
        <color theme="1"/>
        <rFont val="Arial Narrow"/>
        <family val="2"/>
      </rPr>
      <t>H</t>
    </r>
    <r>
      <rPr>
        <vertAlign val="subscript"/>
        <sz val="11"/>
        <color theme="1"/>
        <rFont val="Arial Narrow"/>
        <family val="2"/>
      </rPr>
      <t>10</t>
    </r>
  </si>
  <si>
    <r>
      <t>C</t>
    </r>
    <r>
      <rPr>
        <vertAlign val="subscript"/>
        <sz val="11"/>
        <color theme="1"/>
        <rFont val="Arial Narrow"/>
        <family val="2"/>
      </rPr>
      <t>5</t>
    </r>
    <r>
      <rPr>
        <sz val="11"/>
        <color theme="1"/>
        <rFont val="Arial Narrow"/>
        <family val="2"/>
      </rPr>
      <t>H</t>
    </r>
    <r>
      <rPr>
        <vertAlign val="subscript"/>
        <sz val="11"/>
        <color theme="1"/>
        <rFont val="Arial Narrow"/>
        <family val="2"/>
      </rPr>
      <t>12</t>
    </r>
  </si>
  <si>
    <r>
      <t>C</t>
    </r>
    <r>
      <rPr>
        <vertAlign val="subscript"/>
        <sz val="11"/>
        <color theme="1"/>
        <rFont val="Arial Narrow"/>
        <family val="2"/>
      </rPr>
      <t>6</t>
    </r>
    <r>
      <rPr>
        <sz val="11"/>
        <color theme="1"/>
        <rFont val="Arial Narrow"/>
        <family val="2"/>
      </rPr>
      <t>H</t>
    </r>
    <r>
      <rPr>
        <vertAlign val="subscript"/>
        <sz val="11"/>
        <color theme="1"/>
        <rFont val="Arial Narrow"/>
        <family val="2"/>
      </rPr>
      <t>14</t>
    </r>
  </si>
  <si>
    <r>
      <t>C</t>
    </r>
    <r>
      <rPr>
        <vertAlign val="subscript"/>
        <sz val="11"/>
        <color theme="1"/>
        <rFont val="Arial Narrow"/>
        <family val="2"/>
      </rPr>
      <t>7</t>
    </r>
    <r>
      <rPr>
        <sz val="11"/>
        <color theme="1"/>
        <rFont val="Arial Narrow"/>
        <family val="2"/>
      </rPr>
      <t>H</t>
    </r>
    <r>
      <rPr>
        <vertAlign val="subscript"/>
        <sz val="11"/>
        <color theme="1"/>
        <rFont val="Arial Narrow"/>
        <family val="2"/>
      </rPr>
      <t>16</t>
    </r>
  </si>
  <si>
    <r>
      <t>C</t>
    </r>
    <r>
      <rPr>
        <vertAlign val="subscript"/>
        <sz val="11"/>
        <color theme="1"/>
        <rFont val="Arial Narrow"/>
        <family val="2"/>
      </rPr>
      <t>8</t>
    </r>
    <r>
      <rPr>
        <sz val="11"/>
        <color theme="1"/>
        <rFont val="Arial Narrow"/>
        <family val="2"/>
      </rPr>
      <t>H</t>
    </r>
    <r>
      <rPr>
        <vertAlign val="subscript"/>
        <sz val="11"/>
        <color theme="1"/>
        <rFont val="Arial Narrow"/>
        <family val="2"/>
      </rPr>
      <t>18</t>
    </r>
  </si>
  <si>
    <r>
      <t>C</t>
    </r>
    <r>
      <rPr>
        <vertAlign val="subscript"/>
        <sz val="11"/>
        <color theme="1"/>
        <rFont val="Arial Narrow"/>
        <family val="2"/>
      </rPr>
      <t>9</t>
    </r>
    <r>
      <rPr>
        <sz val="11"/>
        <color theme="1"/>
        <rFont val="Arial Narrow"/>
        <family val="2"/>
      </rPr>
      <t>H</t>
    </r>
    <r>
      <rPr>
        <vertAlign val="subscript"/>
        <sz val="11"/>
        <color theme="1"/>
        <rFont val="Arial Narrow"/>
        <family val="2"/>
      </rPr>
      <t>20</t>
    </r>
  </si>
  <si>
    <r>
      <t>C</t>
    </r>
    <r>
      <rPr>
        <vertAlign val="subscript"/>
        <sz val="11"/>
        <color theme="1"/>
        <rFont val="Arial Narrow"/>
        <family val="2"/>
      </rPr>
      <t>10</t>
    </r>
    <r>
      <rPr>
        <sz val="11"/>
        <color theme="1"/>
        <rFont val="Arial Narrow"/>
        <family val="2"/>
      </rPr>
      <t>H</t>
    </r>
    <r>
      <rPr>
        <vertAlign val="subscript"/>
        <sz val="11"/>
        <color theme="1"/>
        <rFont val="Arial Narrow"/>
        <family val="2"/>
      </rPr>
      <t>22</t>
    </r>
  </si>
  <si>
    <r>
      <t>H</t>
    </r>
    <r>
      <rPr>
        <vertAlign val="subscript"/>
        <sz val="11"/>
        <color theme="1"/>
        <rFont val="Arial Narrow"/>
        <family val="2"/>
      </rPr>
      <t>2</t>
    </r>
    <r>
      <rPr>
        <sz val="11"/>
        <color theme="1"/>
        <rFont val="Arial Narrow"/>
        <family val="2"/>
      </rPr>
      <t>S</t>
    </r>
  </si>
  <si>
    <r>
      <t>CO</t>
    </r>
    <r>
      <rPr>
        <vertAlign val="subscript"/>
        <sz val="11"/>
        <color theme="1"/>
        <rFont val="Arial Narrow"/>
        <family val="2"/>
      </rPr>
      <t>2</t>
    </r>
  </si>
  <si>
    <r>
      <t>N</t>
    </r>
    <r>
      <rPr>
        <vertAlign val="subscript"/>
        <sz val="11"/>
        <color theme="1"/>
        <rFont val="Arial Narrow"/>
        <family val="2"/>
      </rPr>
      <t>2</t>
    </r>
  </si>
  <si>
    <r>
      <t>H</t>
    </r>
    <r>
      <rPr>
        <vertAlign val="subscript"/>
        <sz val="11"/>
        <color theme="1"/>
        <rFont val="Arial Narrow"/>
        <family val="2"/>
      </rPr>
      <t>2</t>
    </r>
    <r>
      <rPr>
        <sz val="11"/>
        <color theme="1"/>
        <rFont val="Arial Narrow"/>
        <family val="2"/>
      </rPr>
      <t>O</t>
    </r>
  </si>
  <si>
    <r>
      <t>SO</t>
    </r>
    <r>
      <rPr>
        <vertAlign val="subscript"/>
        <sz val="11"/>
        <color theme="1"/>
        <rFont val="Arial Narrow"/>
        <family val="2"/>
      </rPr>
      <t>2</t>
    </r>
  </si>
  <si>
    <r>
      <t>O</t>
    </r>
    <r>
      <rPr>
        <vertAlign val="subscript"/>
        <sz val="11"/>
        <color theme="1"/>
        <rFont val="Arial Narrow"/>
        <family val="2"/>
      </rPr>
      <t>2</t>
    </r>
  </si>
  <si>
    <t>Table of Contents</t>
  </si>
  <si>
    <t>Contents</t>
  </si>
  <si>
    <t>Onshore Production</t>
  </si>
  <si>
    <t>Offshore Production</t>
  </si>
  <si>
    <t xml:space="preserve">Abandoned wells </t>
  </si>
  <si>
    <t>Production Platform (c/w Compression)</t>
  </si>
  <si>
    <t>Production Platform (wells only)</t>
  </si>
  <si>
    <t>Processing Platform</t>
  </si>
  <si>
    <t>Asset ID:</t>
  </si>
  <si>
    <t>Country:</t>
  </si>
  <si>
    <t>Language &amp; User Guidance</t>
  </si>
  <si>
    <t>Idioma y guía del usuario</t>
  </si>
  <si>
    <t>语言和用户指南</t>
  </si>
  <si>
    <t>This tool currently supports English, Mandarin Chinese, and Spanish. The language of choice may be selected using the selection feature located at the top of the "Language &amp; User Guidance" worksheet.</t>
  </si>
  <si>
    <t>Setup – IPCC Assessment</t>
  </si>
  <si>
    <t>Energy Industries</t>
  </si>
  <si>
    <t>Petroleum Refining</t>
  </si>
  <si>
    <t>Solid Fuel Consumption</t>
  </si>
  <si>
    <t>Other Energy Industries</t>
  </si>
  <si>
    <t>Liquid Fuel Consumption</t>
  </si>
  <si>
    <t>Natural Gas Consumption</t>
  </si>
  <si>
    <t>Oil Exploration</t>
  </si>
  <si>
    <t>Oil Production and Upgrading</t>
  </si>
  <si>
    <t>Oil Transport</t>
  </si>
  <si>
    <t>Pipelines</t>
  </si>
  <si>
    <t>Tanker Trucks and Rail Cars</t>
  </si>
  <si>
    <t>Oil Refining</t>
  </si>
  <si>
    <t>Distribution of Oil Products</t>
  </si>
  <si>
    <t>Other</t>
  </si>
  <si>
    <t>Abandoned Oil Wells</t>
  </si>
  <si>
    <t>Gas Exploration</t>
  </si>
  <si>
    <t>Gas Production and Gathering</t>
  </si>
  <si>
    <t>Gas Transmission and Storage</t>
  </si>
  <si>
    <t>Gas Post-Meter</t>
  </si>
  <si>
    <t>Abandoned Gas Wells</t>
  </si>
  <si>
    <t>Amount (GJ/y)</t>
  </si>
  <si>
    <t>Emission Factors (kg/TJ)</t>
  </si>
  <si>
    <t>Tier 1</t>
  </si>
  <si>
    <t>Tier 2</t>
  </si>
  <si>
    <t>Category</t>
  </si>
  <si>
    <t>NA</t>
  </si>
  <si>
    <t>Energy Industries:</t>
  </si>
  <si>
    <t>Configuración – Evaluación del IPCC</t>
  </si>
  <si>
    <t>设置 – IPCC 评估</t>
  </si>
  <si>
    <t>Calculations – IPCC</t>
  </si>
  <si>
    <t>Cálculos – IPCC</t>
  </si>
  <si>
    <t>计算 – IPCC</t>
  </si>
  <si>
    <t>Type of Activity Parameter</t>
  </si>
  <si>
    <t>Emission Factor Selection</t>
  </si>
  <si>
    <t>Applied</t>
  </si>
  <si>
    <t>Pollutant</t>
  </si>
  <si>
    <t>Sub-segment</t>
  </si>
  <si>
    <t>NMVOC</t>
  </si>
  <si>
    <t>Unconventional onshore oil wells drilled in a year, without flaring or recovery</t>
  </si>
  <si>
    <t>Unconventional onshore oil wells drilled in a year, with flaring or recovery</t>
  </si>
  <si>
    <t>Onshore Conventional</t>
  </si>
  <si>
    <t>Onshore conventional oil wells drilled in a year</t>
  </si>
  <si>
    <r>
      <t>tonnes/10</t>
    </r>
    <r>
      <rPr>
        <vertAlign val="superscript"/>
        <sz val="11"/>
        <rFont val="Arial Narrow"/>
        <family val="2"/>
      </rPr>
      <t>3</t>
    </r>
    <r>
      <rPr>
        <sz val="11"/>
        <rFont val="Arial Narrow"/>
        <family val="2"/>
      </rPr>
      <t>m</t>
    </r>
    <r>
      <rPr>
        <vertAlign val="superscript"/>
        <sz val="11"/>
        <rFont val="Arial Narrow"/>
        <family val="2"/>
      </rPr>
      <t>3</t>
    </r>
  </si>
  <si>
    <t>Onshore: Most activities occurring with higher- emitting technologies and practices</t>
  </si>
  <si>
    <t>Offshore</t>
  </si>
  <si>
    <t>Onshore: Oil Sands Upgrading</t>
  </si>
  <si>
    <t>Onshore: Oil Sands Mining and Ore Processing</t>
  </si>
  <si>
    <t>Onshore: Most activities occurring with lower-emitting technologies and practices</t>
  </si>
  <si>
    <t>Tanks</t>
  </si>
  <si>
    <t>Loading of offshore production on tanker ships without VRU</t>
  </si>
  <si>
    <t>Loading of offshore production on tanker ships with VRU</t>
  </si>
  <si>
    <t>ND</t>
  </si>
  <si>
    <t>Other (e.g. diesel, aviation fuel, jet kerosene)</t>
  </si>
  <si>
    <t>Onshore: Plugged</t>
  </si>
  <si>
    <t>Onshore: Unplugged</t>
  </si>
  <si>
    <t>Onshore: All wells (plugged and unplugged)</t>
  </si>
  <si>
    <t>Offshore: Plugged</t>
  </si>
  <si>
    <t>Offshore: Unplugged</t>
  </si>
  <si>
    <t>Offshore: All wells (plugged and unplugged)</t>
  </si>
  <si>
    <t>Onshore plugged abandoned well</t>
  </si>
  <si>
    <t>Onshore unplugged abandoned well</t>
  </si>
  <si>
    <t>Onshore abandoned well</t>
  </si>
  <si>
    <t>Offshore plugged abandoned well</t>
  </si>
  <si>
    <t>Offshore unplugged abandoned well</t>
  </si>
  <si>
    <t>Offshore abandoned well</t>
  </si>
  <si>
    <t>Onshore unconventional gas exploration without flaring or gas capture</t>
  </si>
  <si>
    <t>Onshore unconventional gas exploration with flaring or gas capture</t>
  </si>
  <si>
    <t>Unconventional onshore gas wells drilled in a year, without flaring or recovery</t>
  </si>
  <si>
    <t>Unconventional onshore gas wells drilled in a year, with flaring or recovery</t>
  </si>
  <si>
    <t>Onshore conventional Gas exploration</t>
  </si>
  <si>
    <t>Onshore conventional gas wells drilled in a year</t>
  </si>
  <si>
    <t>Onshore: Most activities occurring with higher-emitting technologies and practices</t>
  </si>
  <si>
    <t>Onshore Coal Bed Methane</t>
  </si>
  <si>
    <t>Gathering</t>
  </si>
  <si>
    <t>Active gas well</t>
  </si>
  <si>
    <t>Without LDAR, or with limited LDAR, or less than 50% of centrifugal compressors have dry seals</t>
  </si>
  <si>
    <t>Extensive LDAR, and around 50% or more of centrifugal compressors have dry seals</t>
  </si>
  <si>
    <t>Sour gas (acid gas removal)</t>
  </si>
  <si>
    <t>tonnes/km</t>
  </si>
  <si>
    <t>Transmission: Limited LDAR or less than 50% of centrifugal compressors have dry seals</t>
  </si>
  <si>
    <t>Transmission: Extensive LDAR, and around 50% or more of centrifugal compressors have dry seals</t>
  </si>
  <si>
    <t>Storage: Limited LDAR or most activities occurring with higher- emitting technologies and practices</t>
  </si>
  <si>
    <t>Storage: Extensive LDAR and lower-emitting technologies and practices</t>
  </si>
  <si>
    <t>LNG: Import/Export</t>
  </si>
  <si>
    <t>Station</t>
  </si>
  <si>
    <t>Greater than 50% plastic pipelines, and leak detection and repair programs are in use</t>
  </si>
  <si>
    <t>Short term surface storage</t>
  </si>
  <si>
    <t>Town gas distribution: All</t>
  </si>
  <si>
    <t>Appliances in commercial and residential sector</t>
  </si>
  <si>
    <t>Leakage at industrial plants and power stations</t>
  </si>
  <si>
    <t>Car</t>
  </si>
  <si>
    <t>Appliance</t>
  </si>
  <si>
    <t>Units of measure</t>
  </si>
  <si>
    <t>Total unconventional onshore oil well population where exploration occurs without flaring or recovery</t>
  </si>
  <si>
    <t>Total unconventional onshore oil well population where exploration occurs with flaring or recovery</t>
  </si>
  <si>
    <t>Total conventional onshore oil well population</t>
  </si>
  <si>
    <t>Active onshore oil well</t>
  </si>
  <si>
    <t>Total unconventional onshore gas well population where exploration occurs without flaring or recovery</t>
  </si>
  <si>
    <t>Total unconventional onshore gas well population where exploration occurs with flaring or recovery</t>
  </si>
  <si>
    <t>Total conventional onshore gas well population</t>
  </si>
  <si>
    <t>Kilometre pipeline</t>
  </si>
  <si>
    <t>LNG: Storage</t>
  </si>
  <si>
    <t>Kilometre of pipeline</t>
  </si>
  <si>
    <r>
      <t>tonnes/10</t>
    </r>
    <r>
      <rPr>
        <vertAlign val="superscript"/>
        <sz val="11"/>
        <rFont val="Arial Narrow"/>
        <family val="2"/>
      </rPr>
      <t>6</t>
    </r>
    <r>
      <rPr>
        <sz val="11"/>
        <rFont val="Arial Narrow"/>
        <family val="2"/>
      </rPr>
      <t>m</t>
    </r>
    <r>
      <rPr>
        <vertAlign val="superscript"/>
        <sz val="11"/>
        <rFont val="Arial Narrow"/>
        <family val="2"/>
      </rPr>
      <t>3</t>
    </r>
  </si>
  <si>
    <t>Oil and Natural Gas</t>
  </si>
  <si>
    <t>Oil</t>
  </si>
  <si>
    <t>Exploration</t>
  </si>
  <si>
    <t>Production and Upgrading</t>
  </si>
  <si>
    <t>Transport</t>
  </si>
  <si>
    <t>Refining</t>
  </si>
  <si>
    <t>Production and Gathering</t>
  </si>
  <si>
    <t>Processing</t>
  </si>
  <si>
    <t>Transmission and Storage</t>
  </si>
  <si>
    <t>Post-Meter</t>
  </si>
  <si>
    <t>Manufacture of solid fuels and other energy industries</t>
  </si>
  <si>
    <t>Emission Results(Facility Level) - Summary by Source Category and Pollutant Type</t>
  </si>
  <si>
    <t>System-Wide Emission Results (IPCC) - Summary by Industry Segment and Pollutant Type</t>
  </si>
  <si>
    <t xml:space="preserve">Industry Segment </t>
  </si>
  <si>
    <t>Well Count</t>
  </si>
  <si>
    <t>Onshore unconventional onshore oil production where exploration occurs without flaring or recovery</t>
  </si>
  <si>
    <t>tonnes/y/well</t>
  </si>
  <si>
    <t>Results (Tabular) - System Wide</t>
  </si>
  <si>
    <t>LNG Plant (Liquefaction)</t>
  </si>
  <si>
    <t>LNG Shipping</t>
  </si>
  <si>
    <t>LNG Regasification</t>
  </si>
  <si>
    <t>Distribution LNG Satellite</t>
  </si>
  <si>
    <t>Onshore unconventional oil production where exploration occurs with flaring or recovery</t>
  </si>
  <si>
    <t>Onshore conventional oil production</t>
  </si>
  <si>
    <t>Onshore oil production</t>
  </si>
  <si>
    <t>Crude bitumen production from surface mining</t>
  </si>
  <si>
    <t>Synthetic crude oil production</t>
  </si>
  <si>
    <t>Offshore oil production</t>
  </si>
  <si>
    <t>Oil transported by pipeline</t>
  </si>
  <si>
    <t>Oil transported by Tanker Truck or rail car</t>
  </si>
  <si>
    <t>Crude oil feed</t>
  </si>
  <si>
    <t>Oil loaded onto tanker ship</t>
  </si>
  <si>
    <t>Product consumed</t>
  </si>
  <si>
    <t>Onshore unconventional gas production where exploration occurs with flaring or recovery</t>
  </si>
  <si>
    <t>Onshore conventional gas production</t>
  </si>
  <si>
    <t>Onshore gas production</t>
  </si>
  <si>
    <t>Offshore gas production</t>
  </si>
  <si>
    <t>Gas processed</t>
  </si>
  <si>
    <t>Gas produced</t>
  </si>
  <si>
    <t>Sour gas processed</t>
  </si>
  <si>
    <t>Gas consumption</t>
  </si>
  <si>
    <t>Station Count</t>
  </si>
  <si>
    <t>tonnes/y/station</t>
  </si>
  <si>
    <t>Gas stored</t>
  </si>
  <si>
    <t>Car Count</t>
  </si>
  <si>
    <t>Appliance Count</t>
  </si>
  <si>
    <t>Non-residential and commercial gas consumed</t>
  </si>
  <si>
    <t>tonnes/y/car</t>
  </si>
  <si>
    <t>tonnes/y/appliance</t>
  </si>
  <si>
    <t>E+03 m^3/y</t>
  </si>
  <si>
    <t>E+03 bbl/y</t>
  </si>
  <si>
    <t>E+06 m^3/y</t>
  </si>
  <si>
    <t>Emission Factors</t>
  </si>
  <si>
    <t>E+03 m3/y</t>
  </si>
  <si>
    <t>"m^3/y" to "E+03 m^3/y"</t>
  </si>
  <si>
    <t>"bbl/y" to "E+03 m^3/y"</t>
  </si>
  <si>
    <t>"E+03 m^3/y" to "E+03 m^3/y"</t>
  </si>
  <si>
    <t>"E+03 bbl/y" to "E+03 m^3/y"</t>
  </si>
  <si>
    <t>"E+06 m^3/y" to "E+03 m^3/y"</t>
  </si>
  <si>
    <r>
      <t>10</t>
    </r>
    <r>
      <rPr>
        <vertAlign val="superscript"/>
        <sz val="11"/>
        <color theme="1"/>
        <rFont val="Arial Narrow"/>
        <family val="2"/>
      </rPr>
      <t>3</t>
    </r>
    <r>
      <rPr>
        <sz val="11"/>
        <color theme="1"/>
        <rFont val="Arial Narrow"/>
        <family val="2"/>
      </rPr>
      <t>m</t>
    </r>
    <r>
      <rPr>
        <vertAlign val="superscript"/>
        <sz val="11"/>
        <color theme="1"/>
        <rFont val="Arial Narrow"/>
        <family val="2"/>
      </rPr>
      <t>3</t>
    </r>
    <r>
      <rPr>
        <sz val="11"/>
        <color theme="1"/>
        <rFont val="Arial Narrow"/>
        <family val="2"/>
      </rPr>
      <t>/y</t>
    </r>
  </si>
  <si>
    <r>
      <t>10</t>
    </r>
    <r>
      <rPr>
        <vertAlign val="superscript"/>
        <sz val="11"/>
        <color theme="1"/>
        <rFont val="Arial Narrow"/>
        <family val="2"/>
      </rPr>
      <t>6</t>
    </r>
    <r>
      <rPr>
        <sz val="11"/>
        <color theme="1"/>
        <rFont val="Arial Narrow"/>
        <family val="2"/>
      </rPr>
      <t>m</t>
    </r>
    <r>
      <rPr>
        <vertAlign val="superscript"/>
        <sz val="11"/>
        <color theme="1"/>
        <rFont val="Arial Narrow"/>
        <family val="2"/>
      </rPr>
      <t>3</t>
    </r>
    <r>
      <rPr>
        <sz val="11"/>
        <color theme="1"/>
        <rFont val="Arial Narrow"/>
        <family val="2"/>
      </rPr>
      <t>/y</t>
    </r>
  </si>
  <si>
    <t>Oil refined.</t>
  </si>
  <si>
    <t>Onshore unconventional onshore gas production where exploration occurs without flaring or recovery</t>
  </si>
  <si>
    <t>Header</t>
  </si>
  <si>
    <t>Emissions Petroleum Refining</t>
  </si>
  <si>
    <t>Emissions Other Energy Industries</t>
  </si>
  <si>
    <t>Engineering Tool Box</t>
  </si>
  <si>
    <t>https://www.sciencedirect.com/science/article/abs/pii/S0016236113000835</t>
  </si>
  <si>
    <t>chrome-extension://efaidnbmnnnibpcajpcglclefindmkaj/https://5.imimg.com/data5/UI/UI/LT/SELLER-41560772/briquttes-biocoal-whitecoal.pdf</t>
  </si>
  <si>
    <t>chrome-extension://efaidnbmnnnibpcajpcglclefindmkaj/https://www.saimm.co.za/Journal/v121n05p227.pdf</t>
  </si>
  <si>
    <t>Onshore unconventional without flaring or recovery</t>
  </si>
  <si>
    <t>Onshore unconventional with flaring or recovery</t>
  </si>
  <si>
    <t>Prepared for US Environmental Protection Agency by Tetra Tech and Clearstone Engineering Ltd.</t>
  </si>
  <si>
    <t>FUEL USE INPUT DATA (IPCC)</t>
  </si>
  <si>
    <t>FUGITIVE EMISSIONS INPUT DATA (IPCC)</t>
  </si>
  <si>
    <t>Solid Fuel Properties (IPCC)</t>
  </si>
  <si>
    <t>Liquid Fuel Properties (IPCC)</t>
  </si>
  <si>
    <t>Natural Fuel Properties (IPCC)</t>
  </si>
  <si>
    <t>Go To 'Contents'</t>
  </si>
  <si>
    <t>设施定义</t>
  </si>
  <si>
    <t>Definición de Instalación</t>
  </si>
  <si>
    <t>NOx</t>
  </si>
  <si>
    <t>CO</t>
  </si>
  <si>
    <t>SO2</t>
  </si>
  <si>
    <t>S Content</t>
  </si>
  <si>
    <t>(Mass %)</t>
  </si>
  <si>
    <r>
      <t>tonnes/10</t>
    </r>
    <r>
      <rPr>
        <vertAlign val="superscript"/>
        <sz val="11"/>
        <color theme="1"/>
        <rFont val="Arial Narrow"/>
        <family val="2"/>
      </rPr>
      <t>3</t>
    </r>
    <r>
      <rPr>
        <sz val="11"/>
        <color theme="1"/>
        <rFont val="Arial Narrow"/>
        <family val="2"/>
      </rPr>
      <t>m</t>
    </r>
    <r>
      <rPr>
        <vertAlign val="superscript"/>
        <sz val="11"/>
        <color theme="1"/>
        <rFont val="Arial Narrow"/>
        <family val="2"/>
      </rPr>
      <t>3</t>
    </r>
  </si>
  <si>
    <r>
      <t>tonnes/10</t>
    </r>
    <r>
      <rPr>
        <vertAlign val="superscript"/>
        <sz val="11"/>
        <color theme="1"/>
        <rFont val="Arial Narrow"/>
        <family val="2"/>
      </rPr>
      <t>6</t>
    </r>
    <r>
      <rPr>
        <sz val="11"/>
        <color theme="1"/>
        <rFont val="Arial Narrow"/>
        <family val="2"/>
      </rPr>
      <t>m</t>
    </r>
    <r>
      <rPr>
        <vertAlign val="superscript"/>
        <sz val="11"/>
        <color theme="1"/>
        <rFont val="Arial Narrow"/>
        <family val="2"/>
      </rPr>
      <t>3</t>
    </r>
  </si>
  <si>
    <t>Calculations Setup</t>
  </si>
  <si>
    <t>This worksheet presents a tabular summary of the assessed emissions in units of tonnes by type of pollutant for each segment of the oil and natural gas systems.</t>
  </si>
  <si>
    <t>CRF Category</t>
  </si>
  <si>
    <t>A.1</t>
  </si>
  <si>
    <t>A.1.b</t>
  </si>
  <si>
    <t>A.1.c</t>
  </si>
  <si>
    <t>B.2</t>
  </si>
  <si>
    <t>B.2.a</t>
  </si>
  <si>
    <t>B.2.b</t>
  </si>
  <si>
    <t>描述</t>
  </si>
  <si>
    <t>Descripción</t>
  </si>
  <si>
    <t>Results (Tabular)</t>
  </si>
  <si>
    <t>Results (Graphical)</t>
  </si>
  <si>
    <t>Resultados (Gráficos)</t>
  </si>
  <si>
    <t>结果（图形）</t>
  </si>
  <si>
    <t>结果（表格）</t>
  </si>
  <si>
    <t>Resultados (tabulares)</t>
  </si>
  <si>
    <t>Applied Global Warming Potentials (GWPs)</t>
  </si>
  <si>
    <t>应用全球变暖潜势 (GWP)</t>
  </si>
  <si>
    <t>Potenciales de calentamiento global (GWP) aplicados</t>
  </si>
  <si>
    <t>Cover</t>
  </si>
  <si>
    <t>This spreadsheet tool assesses atmospheric emissions of greenhouses gases (GHG) (i.e., CH4, CO2, N2O and CO2E) as well as selected criteria air contaminants (CAC) (i.e., NOx, CO, NMVOCs, and SO2) for oil and natural gas systems by segment (or subsector) using IPCC Tier-1 and Tier-2 methods. The results are presented in accordance with the UNFCCC common reporting format (CRF). The required input information is national statistics for the relevant activities and any Tier-2 emission factors that the user may wish to apply. All Tier-1 emission factors are already available in the this tool and are used by default in the absence of any Tier-2  emission factors. Tier-2 emission factors are determined by a jurisdiction based on the results of a rigorous bottom-up emissions assessment in a given year.</t>
  </si>
  <si>
    <t>Total GHG and CAC emissions for each segment of a jurisdiction's oil and natural gas systems are estimated using applicable national statistics and either a Tier-1 (by default) or Tier-2 (if available) emissions factor. The Tier-1 emission factors are from the 2019 refined IPCC Guidelines for Stationary Combustion (Chapter 2) and the Fugitive Emissions ( Chapter 4).</t>
  </si>
  <si>
    <t>This worksheet presents a pie-chart showing the percentage distribution of a user-specified climate or air pollutant by segment of a jurisdictions oil and natural gas systems. Total assessed annual emissions of the selected pollutant is also given in units of tonnes.</t>
  </si>
  <si>
    <t>This worksheet is where you enter the activity data needed to drive the applicable emission calculations and, if available, any provide any related Tier-2 emission factors.</t>
  </si>
  <si>
    <t>Asset or System Definition</t>
  </si>
  <si>
    <t>Less than 50% plastic pipelines, or limited or no leak detection and repair programs</t>
  </si>
  <si>
    <t>Natural gas-fuelled vehicles</t>
  </si>
  <si>
    <t>Carbon Monoxide</t>
  </si>
  <si>
    <t>Nitrous Oxide</t>
  </si>
  <si>
    <t>Oxides of Nitrogen</t>
  </si>
  <si>
    <t>Non-Methane VOC</t>
  </si>
  <si>
    <t>Atomic Data</t>
  </si>
  <si>
    <t>Atomic Mass</t>
  </si>
  <si>
    <t>Carbon</t>
  </si>
  <si>
    <t>Hydrogen</t>
  </si>
  <si>
    <t>Sulphur</t>
  </si>
  <si>
    <t>Parameter</t>
  </si>
  <si>
    <t>(Mol %)</t>
  </si>
  <si>
    <t>H2S Content</t>
  </si>
  <si>
    <t>m3/d</t>
  </si>
  <si>
    <t>The assessment results are summarized on the “Results (Tabular)” worksheet by primary source category and type of GHG.</t>
  </si>
  <si>
    <t xml:space="preserve">Los resultados del análisis se resumen en la hoja de cálculo “Results (Tabular)”, reportados por categoría de fuente y tipo de GEI. </t>
  </si>
  <si>
    <t>The “Setup – IPCC Assessment” worksheet is where the user defines which segments of a jurisdiction's oil and natural gas systems apply and providing corresponding activity data. The form allows the user to select different units of  measure. This is also where any Tier-2 emission factors would be entered.</t>
  </si>
  <si>
    <t>Oil Other</t>
  </si>
  <si>
    <t>Gas Other</t>
  </si>
  <si>
    <t>Onshore All</t>
  </si>
  <si>
    <t>Offshore All</t>
  </si>
  <si>
    <t>Processing All</t>
  </si>
  <si>
    <t>Transmission All</t>
  </si>
  <si>
    <t>Distribution All</t>
  </si>
  <si>
    <t>Onshore 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</si>
</sst>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000"/>
    <numFmt numFmtId="165" formatCode="#,##0.0"/>
    <numFmt numFmtId="166" formatCode="0.000000"/>
    <numFmt numFmtId="167" formatCode="0.000"/>
    <numFmt numFmtId="168" formatCode="#,##0.000"/>
    <numFmt numFmtId="169" formatCode="0.0"/>
    <numFmt numFmtId="170" formatCode="0;\-0;;@"/>
    <numFmt numFmtId="171" formatCode="0.0000%"/>
  </numFmts>
  <fonts count="64"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sz val="11"/>
      <color rgb="FF222222"/>
      <name val="Calibri"/>
      <family val="2"/>
      <scheme val="minor"/>
    </font>
    <font>
      <sz val="11"/>
      <name val="Calibri"/>
      <family val="2"/>
      <scheme val="minor"/>
    </font>
    <font>
      <sz val="11"/>
      <color rgb="FF000000"/>
      <name val="Calibri"/>
      <family val="2"/>
      <scheme val="minor"/>
    </font>
    <font>
      <sz val="8"/>
      <name val="Calibri"/>
      <family val="2"/>
      <scheme val="minor"/>
    </font>
    <font>
      <b/>
      <sz val="11"/>
      <color rgb="FF000000"/>
      <name val="Calibri"/>
      <family val="2"/>
      <scheme val="minor"/>
    </font>
    <font>
      <vertAlign val="superscript"/>
      <sz val="11"/>
      <color rgb="FF000000"/>
      <name val="Calibri"/>
      <family val="2"/>
      <scheme val="minor"/>
    </font>
    <font>
      <u/>
      <sz val="11"/>
      <color theme="10"/>
      <name val="Calibri"/>
      <family val="2"/>
      <scheme val="minor"/>
    </font>
    <font>
      <b/>
      <sz val="11"/>
      <color theme="1"/>
      <name val="Arial Narrow"/>
      <family val="2"/>
    </font>
    <font>
      <sz val="11"/>
      <color theme="0"/>
      <name val="Arial Narrow"/>
      <family val="2"/>
    </font>
    <font>
      <b/>
      <sz val="26"/>
      <color theme="1"/>
      <name val="Arial Narrow"/>
      <family val="2"/>
    </font>
    <font>
      <b/>
      <sz val="18"/>
      <color theme="1"/>
      <name val="Arial Narrow"/>
      <family val="2"/>
    </font>
    <font>
      <sz val="12"/>
      <color theme="1"/>
      <name val="Arial Narrow"/>
      <family val="2"/>
    </font>
    <font>
      <b/>
      <sz val="12"/>
      <color theme="1"/>
      <name val="Arial Narrow"/>
      <family val="2"/>
    </font>
    <font>
      <sz val="18"/>
      <color theme="1"/>
      <name val="Arial Narrow"/>
      <family val="2"/>
    </font>
    <font>
      <sz val="26"/>
      <color theme="0"/>
      <name val="Arial Narrow"/>
      <family val="2"/>
    </font>
    <font>
      <b/>
      <sz val="26"/>
      <color theme="0"/>
      <name val="Arial Narrow"/>
      <family val="2"/>
    </font>
    <font>
      <b/>
      <sz val="18"/>
      <name val="Arial Narrow"/>
      <family val="2"/>
    </font>
    <font>
      <b/>
      <sz val="12"/>
      <color theme="0"/>
      <name val="Arial Narrow"/>
      <family val="2"/>
    </font>
    <font>
      <b/>
      <sz val="12"/>
      <color rgb="FFFF0000"/>
      <name val="Arial Narrow"/>
      <family val="2"/>
    </font>
    <font>
      <b/>
      <sz val="18"/>
      <name val="Aptos Narrow"/>
      <family val="2"/>
    </font>
    <font>
      <sz val="12"/>
      <color theme="0"/>
      <name val="Arial Narrow"/>
      <family val="2"/>
    </font>
    <font>
      <sz val="14"/>
      <color rgb="FF222222"/>
      <name val="Arial Narrow"/>
      <family val="2"/>
    </font>
    <font>
      <b/>
      <sz val="11"/>
      <color rgb="FFFF0000"/>
      <name val="Arial Narrow"/>
      <family val="2"/>
    </font>
    <font>
      <b/>
      <sz val="11"/>
      <color theme="0"/>
      <name val="Arial Narrow"/>
      <family val="2"/>
    </font>
    <font>
      <b/>
      <sz val="11"/>
      <name val="Arial Narrow"/>
      <family val="2"/>
    </font>
    <font>
      <sz val="11"/>
      <name val="Arial Narrow"/>
      <family val="2"/>
    </font>
    <font>
      <b/>
      <sz val="12"/>
      <name val="Arial Narrow"/>
      <family val="2"/>
    </font>
    <font>
      <sz val="10"/>
      <name val="Arial Narrow"/>
      <family val="2"/>
    </font>
    <font>
      <sz val="12"/>
      <name val="Arial Narrow"/>
      <family val="2"/>
    </font>
    <font>
      <sz val="9"/>
      <color theme="1"/>
      <name val="Arial Narrow"/>
      <family val="2"/>
    </font>
    <font>
      <vertAlign val="superscript"/>
      <sz val="11"/>
      <color theme="1"/>
      <name val="Arial Narrow"/>
      <family val="2"/>
    </font>
    <font>
      <sz val="9"/>
      <name val="Arial Narrow"/>
      <family val="2"/>
    </font>
    <font>
      <vertAlign val="subscript"/>
      <sz val="11"/>
      <color theme="1"/>
      <name val="Arial Narrow"/>
      <family val="2"/>
    </font>
    <font>
      <b/>
      <sz val="20"/>
      <color theme="0"/>
      <name val="Arial Narrow"/>
      <family val="2"/>
    </font>
    <font>
      <b/>
      <sz val="16"/>
      <color theme="0"/>
      <name val="Arial Narrow"/>
      <family val="2"/>
    </font>
    <font>
      <b/>
      <u/>
      <sz val="12"/>
      <color rgb="FF50C9F5"/>
      <name val="Arial Narrow"/>
      <family val="2"/>
    </font>
    <font>
      <b/>
      <u/>
      <sz val="12"/>
      <color rgb="FF00C698"/>
      <name val="Arial Narrow"/>
      <family val="2"/>
    </font>
    <font>
      <b/>
      <u/>
      <sz val="12"/>
      <color rgb="FF0070C0"/>
      <name val="Arial Narrow"/>
      <family val="2"/>
    </font>
    <font>
      <sz val="9"/>
      <color theme="1"/>
      <name val="Calibri"/>
      <family val="2"/>
      <scheme val="minor"/>
    </font>
    <font>
      <b/>
      <sz val="20"/>
      <color theme="1"/>
      <name val="Arial Narrow"/>
      <family val="2"/>
    </font>
    <font>
      <vertAlign val="superscript"/>
      <sz val="11"/>
      <name val="Arial Narrow"/>
      <family val="2"/>
    </font>
    <font>
      <b/>
      <sz val="14"/>
      <name val="Calibri"/>
      <family val="2"/>
      <scheme val="minor"/>
    </font>
    <font>
      <b/>
      <sz val="14"/>
      <color theme="1"/>
      <name val="Calibri"/>
      <family val="2"/>
      <scheme val="minor"/>
    </font>
    <font>
      <sz val="11"/>
      <name val="Aptos Narrow"/>
      <family val="2"/>
    </font>
    <font>
      <b/>
      <sz val="11"/>
      <name val="Aptos Narrow"/>
      <family val="2"/>
    </font>
    <font>
      <sz val="11"/>
      <color theme="0"/>
      <name val="Calibri"/>
      <family val="2"/>
      <scheme val="minor"/>
    </font>
    <font>
      <sz val="11"/>
      <color theme="0"/>
      <name val="Aptos Narrow"/>
      <family val="2"/>
    </font>
    <font>
      <sz val="12"/>
      <color theme="1"/>
      <name val="Calibri"/>
      <family val="2"/>
      <scheme val="minor"/>
    </font>
    <font>
      <sz val="12"/>
      <color theme="0"/>
      <name val="Calibri"/>
      <family val="2"/>
      <scheme val="minor"/>
    </font>
  </fonts>
  <fills count="20">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rgb="FFF5E050"/>
        <bgColor indexed="64"/>
      </patternFill>
    </fill>
    <fill>
      <patternFill patternType="solid">
        <fgColor rgb="FF1FE074"/>
        <bgColor indexed="64"/>
      </patternFill>
    </fill>
    <fill>
      <patternFill patternType="solid">
        <fgColor rgb="FF00C698"/>
        <bgColor indexed="64"/>
      </patternFill>
    </fill>
    <fill>
      <patternFill patternType="solid">
        <fgColor rgb="FFDCFAE9"/>
        <bgColor indexed="64"/>
      </patternFill>
    </fill>
    <fill>
      <patternFill patternType="solid">
        <fgColor rgb="FFDDEBF7"/>
        <bgColor indexed="64"/>
      </patternFill>
    </fill>
    <fill>
      <patternFill patternType="solid">
        <fgColor rgb="FFEEA47F"/>
        <bgColor indexed="64"/>
      </patternFill>
    </fill>
    <fill>
      <patternFill patternType="solid">
        <fgColor rgb="FFFCF6F5"/>
        <bgColor indexed="64"/>
      </patternFill>
    </fill>
    <fill>
      <patternFill patternType="solid">
        <fgColor rgb="FF00A9B5"/>
        <bgColor indexed="64"/>
      </patternFill>
    </fill>
    <fill>
      <patternFill patternType="solid">
        <fgColor rgb="FFE5FDFF"/>
        <bgColor indexed="64"/>
      </patternFill>
    </fill>
    <fill>
      <patternFill patternType="solid">
        <fgColor rgb="FFE5FDFF"/>
        <bgColor theme="4" tint="0.79998168889431442"/>
      </patternFill>
    </fill>
    <fill>
      <patternFill patternType="solid">
        <fgColor rgb="FFFB8500"/>
        <bgColor indexed="64"/>
      </patternFill>
    </fill>
    <fill>
      <patternFill patternType="solid">
        <fgColor rgb="FFFFF199"/>
        <bgColor indexed="64"/>
      </patternFill>
    </fill>
    <fill>
      <patternFill patternType="solid">
        <fgColor rgb="FF50C9F5"/>
        <bgColor indexed="64"/>
      </patternFill>
    </fill>
    <fill>
      <patternFill patternType="solid">
        <fgColor rgb="FFFFFF00"/>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style="thin">
        <color auto="1"/>
      </top>
      <bottom style="thin">
        <color rgb="FF00A9B5"/>
      </bottom>
      <diagonal/>
    </border>
    <border>
      <left/>
      <right style="thin">
        <color auto="1"/>
      </right>
      <top style="thin">
        <color auto="1"/>
      </top>
      <bottom style="thin">
        <color rgb="FF00A9B5"/>
      </bottom>
      <diagonal/>
    </border>
    <border>
      <left/>
      <right/>
      <top style="thin">
        <color rgb="FF00A9B5"/>
      </top>
      <bottom style="thin">
        <color rgb="FF00A9B5"/>
      </bottom>
      <diagonal/>
    </border>
    <border>
      <left/>
      <right style="thin">
        <color auto="1"/>
      </right>
      <top style="thin">
        <color rgb="FF00A9B5"/>
      </top>
      <bottom style="thin">
        <color rgb="FF00A9B5"/>
      </bottom>
      <diagonal/>
    </border>
    <border>
      <left/>
      <right/>
      <top style="thin">
        <color rgb="FF00A9B5"/>
      </top>
      <bottom style="thin">
        <color auto="1"/>
      </bottom>
      <diagonal/>
    </border>
    <border>
      <left style="thin">
        <color indexed="64"/>
      </left>
      <right style="thin">
        <color indexed="64"/>
      </right>
      <top style="thin">
        <color indexed="64"/>
      </top>
      <bottom style="medium">
        <color indexed="64"/>
      </bottom>
      <diagonal/>
    </border>
    <border>
      <left/>
      <right style="thin">
        <color indexed="64"/>
      </right>
      <top style="thin">
        <color rgb="FF00A9B5"/>
      </top>
      <bottom style="thin">
        <color auto="1"/>
      </bottom>
      <diagonal/>
    </border>
    <border>
      <left style="thin">
        <color theme="4"/>
      </left>
      <right/>
      <top style="thin">
        <color auto="1"/>
      </top>
      <bottom style="thin">
        <color rgb="FF00A9B5"/>
      </bottom>
      <diagonal/>
    </border>
    <border>
      <left style="thin">
        <color theme="4"/>
      </left>
      <right/>
      <top style="thin">
        <color rgb="FF00A9B5"/>
      </top>
      <bottom style="thin">
        <color rgb="FF00A9B5"/>
      </bottom>
      <diagonal/>
    </border>
    <border>
      <left style="thin">
        <color theme="4"/>
      </left>
      <right/>
      <top style="thin">
        <color rgb="FF00A9B5"/>
      </top>
      <bottom style="thin">
        <color auto="1"/>
      </bottom>
      <diagonal/>
    </border>
    <border>
      <left style="thin">
        <color indexed="64"/>
      </left>
      <right/>
      <top style="thin">
        <color auto="1"/>
      </top>
      <bottom style="thin">
        <color rgb="FF00A9B5"/>
      </bottom>
      <diagonal/>
    </border>
    <border>
      <left style="thin">
        <color indexed="64"/>
      </left>
      <right/>
      <top style="thin">
        <color rgb="FF00A9B5"/>
      </top>
      <bottom style="thin">
        <color rgb="FF00A9B5"/>
      </bottom>
      <diagonal/>
    </border>
    <border>
      <left style="thin">
        <color indexed="64"/>
      </left>
      <right/>
      <top style="thin">
        <color rgb="FF00A9B5"/>
      </top>
      <bottom style="thin">
        <color auto="1"/>
      </bottom>
      <diagonal/>
    </border>
  </borders>
  <cellStyleXfs count="2">
    <xf numFmtId="0" fontId="0" fillId="0" borderId="0"/>
    <xf numFmtId="0" fontId="21" fillId="0" borderId="0" applyNumberFormat="0" applyFill="0" applyBorder="0" applyAlignment="0" applyProtection="0"/>
  </cellStyleXfs>
  <cellXfs count="447">
    <xf numFmtId="0" fontId="0" fillId="0" borderId="0" xfId="0"/>
    <xf numFmtId="0" fontId="0" fillId="0" borderId="1" xfId="0" applyBorder="1" applyAlignment="1">
      <alignment vertical="top"/>
    </xf>
    <xf numFmtId="0" fontId="0" fillId="0" borderId="1" xfId="0" applyBorder="1"/>
    <xf numFmtId="0" fontId="0" fillId="0" borderId="1" xfId="0" quotePrefix="1" applyBorder="1" applyAlignment="1">
      <alignment vertical="top"/>
    </xf>
    <xf numFmtId="0" fontId="12" fillId="0" borderId="1" xfId="0" applyFont="1" applyBorder="1"/>
    <xf numFmtId="0" fontId="15" fillId="0" borderId="1" xfId="0" applyFont="1" applyBorder="1" applyAlignment="1">
      <alignment horizontal="left" vertical="top"/>
    </xf>
    <xf numFmtId="0" fontId="12" fillId="4" borderId="1" xfId="0" applyFont="1" applyFill="1" applyBorder="1"/>
    <xf numFmtId="0" fontId="15" fillId="0" borderId="1" xfId="0" applyFont="1" applyBorder="1"/>
    <xf numFmtId="0" fontId="0" fillId="0" borderId="1" xfId="0" applyBorder="1" applyAlignment="1">
      <alignment horizontal="left" vertical="top"/>
    </xf>
    <xf numFmtId="0" fontId="0" fillId="0" borderId="1" xfId="0" quotePrefix="1" applyBorder="1" applyAlignment="1">
      <alignment horizontal="left" vertical="top"/>
    </xf>
    <xf numFmtId="0" fontId="0" fillId="0" borderId="0" xfId="0" applyAlignment="1">
      <alignment horizontal="left" vertical="top"/>
    </xf>
    <xf numFmtId="0" fontId="0" fillId="0" borderId="1" xfId="0" applyBorder="1" applyAlignment="1">
      <alignment wrapText="1"/>
    </xf>
    <xf numFmtId="0" fontId="16" fillId="0" borderId="1" xfId="0" applyFont="1" applyBorder="1" applyAlignment="1">
      <alignment horizontal="left" vertical="top"/>
    </xf>
    <xf numFmtId="0" fontId="12" fillId="0" borderId="0" xfId="0" applyFont="1"/>
    <xf numFmtId="0" fontId="19" fillId="0" borderId="0" xfId="0" applyFont="1" applyAlignment="1">
      <alignment horizontal="left" vertical="top"/>
    </xf>
    <xf numFmtId="0" fontId="17" fillId="0" borderId="0" xfId="0" applyFont="1" applyAlignment="1">
      <alignment horizontal="left" vertical="top"/>
    </xf>
    <xf numFmtId="0" fontId="17" fillId="0" borderId="1" xfId="0" applyFont="1" applyBorder="1" applyAlignment="1">
      <alignment horizontal="left" vertical="top"/>
    </xf>
    <xf numFmtId="0" fontId="17" fillId="0" borderId="1" xfId="0" applyFont="1" applyBorder="1" applyAlignment="1">
      <alignment horizontal="left" vertical="top" wrapText="1"/>
    </xf>
    <xf numFmtId="0" fontId="17" fillId="0" borderId="4" xfId="0" applyFont="1" applyBorder="1" applyAlignment="1">
      <alignment horizontal="left" vertical="top"/>
    </xf>
    <xf numFmtId="0" fontId="17" fillId="0" borderId="1" xfId="0" quotePrefix="1" applyFont="1" applyBorder="1" applyAlignment="1">
      <alignment horizontal="left" vertical="top"/>
    </xf>
    <xf numFmtId="0" fontId="0" fillId="0" borderId="14" xfId="0" applyBorder="1" applyAlignment="1">
      <alignment vertical="center"/>
    </xf>
    <xf numFmtId="0" fontId="0" fillId="0" borderId="6" xfId="0" applyBorder="1"/>
    <xf numFmtId="0" fontId="12" fillId="4" borderId="1" xfId="0" applyFont="1" applyFill="1" applyBorder="1" applyAlignment="1">
      <alignment horizontal="left" vertical="top"/>
    </xf>
    <xf numFmtId="0" fontId="11" fillId="0" borderId="0" xfId="0" applyFont="1"/>
    <xf numFmtId="0" fontId="24" fillId="5" borderId="1" xfId="0" applyFont="1" applyFill="1" applyBorder="1" applyAlignment="1">
      <alignment vertical="center"/>
    </xf>
    <xf numFmtId="0" fontId="26" fillId="0" borderId="0" xfId="0" applyFont="1" applyAlignment="1">
      <alignment horizontal="justify" vertical="center"/>
    </xf>
    <xf numFmtId="0" fontId="27" fillId="0" borderId="0" xfId="0" applyFont="1" applyAlignment="1">
      <alignment horizontal="justify" vertical="center"/>
    </xf>
    <xf numFmtId="0" fontId="11" fillId="0" borderId="15" xfId="0" applyFont="1" applyBorder="1"/>
    <xf numFmtId="0" fontId="11" fillId="0" borderId="14" xfId="0" applyFont="1" applyBorder="1" applyAlignment="1">
      <alignment horizontal="justify" vertical="center"/>
    </xf>
    <xf numFmtId="0" fontId="11" fillId="0" borderId="0" xfId="0" applyFont="1" applyAlignment="1">
      <alignment horizontal="justify" vertical="center"/>
    </xf>
    <xf numFmtId="0" fontId="28" fillId="0" borderId="0" xfId="0" applyFont="1"/>
    <xf numFmtId="0" fontId="11" fillId="0" borderId="0" xfId="0" applyFont="1" applyProtection="1">
      <protection locked="0"/>
    </xf>
    <xf numFmtId="0" fontId="25" fillId="0" borderId="0" xfId="0" applyFont="1"/>
    <xf numFmtId="0" fontId="32" fillId="2" borderId="1" xfId="0" applyFont="1" applyFill="1" applyBorder="1" applyAlignment="1">
      <alignment horizontal="center" vertical="top"/>
    </xf>
    <xf numFmtId="0" fontId="36" fillId="0" borderId="0" xfId="0" applyFont="1"/>
    <xf numFmtId="0" fontId="26" fillId="0" borderId="0" xfId="0" applyFont="1"/>
    <xf numFmtId="0" fontId="23" fillId="0" borderId="0" xfId="0" applyFont="1"/>
    <xf numFmtId="165" fontId="22" fillId="0" borderId="0" xfId="0" applyNumberFormat="1" applyFont="1"/>
    <xf numFmtId="0" fontId="22" fillId="10" borderId="1" xfId="0" applyFont="1" applyFill="1" applyBorder="1"/>
    <xf numFmtId="165" fontId="22" fillId="10" borderId="1" xfId="0" applyNumberFormat="1" applyFont="1" applyFill="1" applyBorder="1"/>
    <xf numFmtId="0" fontId="26" fillId="0" borderId="0" xfId="0" applyFont="1" applyAlignment="1" applyProtection="1">
      <alignment vertical="top"/>
      <protection locked="0"/>
    </xf>
    <xf numFmtId="0" fontId="10" fillId="0" borderId="0" xfId="0" applyFont="1"/>
    <xf numFmtId="0" fontId="40" fillId="0" borderId="1" xfId="0" applyFont="1" applyBorder="1"/>
    <xf numFmtId="0" fontId="10" fillId="0" borderId="1" xfId="0" applyFont="1" applyBorder="1"/>
    <xf numFmtId="168" fontId="10" fillId="0" borderId="1" xfId="0" applyNumberFormat="1" applyFont="1" applyBorder="1"/>
    <xf numFmtId="0" fontId="22" fillId="0" borderId="0" xfId="0" applyFont="1" applyAlignment="1">
      <alignment horizontal="center" vertical="top"/>
    </xf>
    <xf numFmtId="0" fontId="10" fillId="0" borderId="1" xfId="0" quotePrefix="1" applyFont="1" applyBorder="1" applyAlignment="1">
      <alignment horizontal="center" vertical="top"/>
    </xf>
    <xf numFmtId="0" fontId="42" fillId="0" borderId="0" xfId="0" applyFont="1"/>
    <xf numFmtId="0" fontId="32" fillId="11" borderId="1" xfId="0" applyFont="1" applyFill="1" applyBorder="1" applyAlignment="1">
      <alignment horizontal="center"/>
    </xf>
    <xf numFmtId="0" fontId="32" fillId="11" borderId="1" xfId="0" applyFont="1" applyFill="1" applyBorder="1" applyAlignment="1">
      <alignment horizontal="center" vertical="top"/>
    </xf>
    <xf numFmtId="0" fontId="40" fillId="12" borderId="1" xfId="0" applyFont="1" applyFill="1" applyBorder="1"/>
    <xf numFmtId="0" fontId="44" fillId="0" borderId="0" xfId="0" applyFont="1"/>
    <xf numFmtId="0" fontId="32" fillId="11" borderId="2" xfId="0" applyFont="1" applyFill="1" applyBorder="1" applyAlignment="1">
      <alignment horizontal="center" vertical="top"/>
    </xf>
    <xf numFmtId="0" fontId="32" fillId="11" borderId="3" xfId="0" applyFont="1" applyFill="1" applyBorder="1" applyAlignment="1">
      <alignment horizontal="center" vertical="top"/>
    </xf>
    <xf numFmtId="0" fontId="10" fillId="0" borderId="1" xfId="0" applyFont="1" applyBorder="1" applyAlignment="1">
      <alignment vertical="top"/>
    </xf>
    <xf numFmtId="165" fontId="10" fillId="0" borderId="1" xfId="0" applyNumberFormat="1" applyFont="1" applyBorder="1" applyAlignment="1">
      <alignment vertical="top"/>
    </xf>
    <xf numFmtId="164" fontId="10" fillId="0" borderId="1" xfId="0" applyNumberFormat="1" applyFont="1" applyBorder="1" applyAlignment="1">
      <alignment vertical="top"/>
    </xf>
    <xf numFmtId="0" fontId="40" fillId="0" borderId="1" xfId="0" applyFont="1" applyBorder="1" applyAlignment="1">
      <alignment vertical="top"/>
    </xf>
    <xf numFmtId="0" fontId="10" fillId="12" borderId="1" xfId="0" applyFont="1" applyFill="1" applyBorder="1"/>
    <xf numFmtId="0" fontId="38" fillId="11" borderId="1" xfId="0" applyFont="1" applyFill="1" applyBorder="1"/>
    <xf numFmtId="168" fontId="40" fillId="0" borderId="1" xfId="0" applyNumberFormat="1" applyFont="1" applyBorder="1"/>
    <xf numFmtId="165" fontId="40" fillId="0" borderId="1" xfId="0" applyNumberFormat="1" applyFont="1" applyBorder="1"/>
    <xf numFmtId="3" fontId="10" fillId="0" borderId="1" xfId="0" applyNumberFormat="1" applyFont="1" applyBorder="1"/>
    <xf numFmtId="168" fontId="46" fillId="0" borderId="0" xfId="0" applyNumberFormat="1" applyFont="1"/>
    <xf numFmtId="0" fontId="46" fillId="0" borderId="0" xfId="0" applyFont="1"/>
    <xf numFmtId="3" fontId="10" fillId="0" borderId="0" xfId="0" applyNumberFormat="1" applyFont="1"/>
    <xf numFmtId="168" fontId="10" fillId="0" borderId="0" xfId="0" applyNumberFormat="1" applyFont="1"/>
    <xf numFmtId="168" fontId="40" fillId="12" borderId="1" xfId="0" applyNumberFormat="1" applyFont="1" applyFill="1" applyBorder="1"/>
    <xf numFmtId="165" fontId="40" fillId="12" borderId="1" xfId="0" applyNumberFormat="1" applyFont="1" applyFill="1" applyBorder="1"/>
    <xf numFmtId="3" fontId="40" fillId="12" borderId="1" xfId="0" applyNumberFormat="1" applyFont="1" applyFill="1" applyBorder="1"/>
    <xf numFmtId="3" fontId="10" fillId="12" borderId="1" xfId="0" applyNumberFormat="1" applyFont="1" applyFill="1" applyBorder="1"/>
    <xf numFmtId="168" fontId="10" fillId="12" borderId="1" xfId="0" applyNumberFormat="1" applyFont="1" applyFill="1" applyBorder="1"/>
    <xf numFmtId="4" fontId="10" fillId="12" borderId="1" xfId="0" applyNumberFormat="1" applyFont="1" applyFill="1" applyBorder="1"/>
    <xf numFmtId="0" fontId="10" fillId="0" borderId="1" xfId="0" quotePrefix="1" applyFont="1" applyBorder="1" applyAlignment="1">
      <alignment horizontal="left" vertical="top"/>
    </xf>
    <xf numFmtId="164" fontId="40" fillId="0" borderId="1" xfId="0" applyNumberFormat="1" applyFont="1" applyBorder="1" applyAlignment="1">
      <alignment vertical="top"/>
    </xf>
    <xf numFmtId="0" fontId="10" fillId="0" borderId="1" xfId="0" quotePrefix="1" applyFont="1" applyBorder="1" applyAlignment="1">
      <alignment vertical="top"/>
    </xf>
    <xf numFmtId="166" fontId="40" fillId="0" borderId="1" xfId="0" applyNumberFormat="1" applyFont="1" applyBorder="1" applyAlignment="1">
      <alignment vertical="top"/>
    </xf>
    <xf numFmtId="164" fontId="40" fillId="3" borderId="1" xfId="0" applyNumberFormat="1" applyFont="1" applyFill="1" applyBorder="1" applyAlignment="1">
      <alignment vertical="top"/>
    </xf>
    <xf numFmtId="0" fontId="37" fillId="0" borderId="0" xfId="0" applyFont="1" applyAlignment="1">
      <alignment vertical="top"/>
    </xf>
    <xf numFmtId="0" fontId="10" fillId="0" borderId="1" xfId="0" applyFont="1" applyBorder="1" applyAlignment="1">
      <alignment wrapText="1"/>
    </xf>
    <xf numFmtId="0" fontId="10" fillId="0" borderId="7" xfId="0" applyFont="1" applyBorder="1"/>
    <xf numFmtId="0" fontId="10" fillId="0" borderId="2" xfId="0" applyFont="1" applyBorder="1"/>
    <xf numFmtId="0" fontId="10" fillId="0" borderId="4" xfId="0" applyFont="1" applyBorder="1"/>
    <xf numFmtId="0" fontId="10" fillId="0" borderId="1" xfId="0" applyFont="1" applyBorder="1" applyAlignment="1">
      <alignment vertical="top" wrapText="1"/>
    </xf>
    <xf numFmtId="0" fontId="10" fillId="0" borderId="0" xfId="0" applyFont="1" applyAlignment="1">
      <alignment vertical="top" wrapText="1"/>
    </xf>
    <xf numFmtId="0" fontId="26" fillId="0" borderId="0" xfId="0" applyFont="1" applyAlignment="1">
      <alignment vertical="top"/>
    </xf>
    <xf numFmtId="0" fontId="10" fillId="14" borderId="1" xfId="0" applyFont="1" applyFill="1" applyBorder="1"/>
    <xf numFmtId="0" fontId="32" fillId="13" borderId="1" xfId="0" applyFont="1" applyFill="1" applyBorder="1" applyAlignment="1">
      <alignment horizontal="center"/>
    </xf>
    <xf numFmtId="0" fontId="32" fillId="13" borderId="1" xfId="0" applyFont="1" applyFill="1" applyBorder="1"/>
    <xf numFmtId="0" fontId="32" fillId="13" borderId="1" xfId="0" applyFont="1" applyFill="1" applyBorder="1" applyAlignment="1">
      <alignment horizontal="center" vertical="top"/>
    </xf>
    <xf numFmtId="0" fontId="10" fillId="14" borderId="4" xfId="0" applyFont="1" applyFill="1" applyBorder="1"/>
    <xf numFmtId="0" fontId="10" fillId="14" borderId="1" xfId="0" applyFont="1" applyFill="1" applyBorder="1" applyAlignment="1">
      <alignment vertical="top"/>
    </xf>
    <xf numFmtId="0" fontId="25" fillId="13" borderId="0" xfId="0" applyFont="1" applyFill="1"/>
    <xf numFmtId="0" fontId="32" fillId="13" borderId="7" xfId="0" applyFont="1" applyFill="1" applyBorder="1"/>
    <xf numFmtId="0" fontId="32" fillId="13" borderId="2" xfId="0" applyFont="1" applyFill="1" applyBorder="1"/>
    <xf numFmtId="0" fontId="35" fillId="13" borderId="0" xfId="0" applyFont="1" applyFill="1"/>
    <xf numFmtId="0" fontId="10" fillId="14" borderId="1" xfId="0" applyFont="1" applyFill="1" applyBorder="1" applyAlignment="1">
      <alignment vertical="top" wrapText="1"/>
    </xf>
    <xf numFmtId="0" fontId="10" fillId="14" borderId="0" xfId="0" applyFont="1" applyFill="1" applyAlignment="1">
      <alignment vertical="top" wrapText="1"/>
    </xf>
    <xf numFmtId="0" fontId="10" fillId="15" borderId="7" xfId="0" applyFont="1" applyFill="1" applyBorder="1"/>
    <xf numFmtId="0" fontId="10" fillId="15" borderId="2" xfId="0" applyFont="1" applyFill="1" applyBorder="1"/>
    <xf numFmtId="0" fontId="10" fillId="14" borderId="1" xfId="0" applyFont="1" applyFill="1" applyBorder="1" applyAlignment="1">
      <alignment wrapText="1"/>
    </xf>
    <xf numFmtId="0" fontId="26" fillId="0" borderId="0" xfId="0" applyFont="1" applyAlignment="1">
      <alignment horizontal="left"/>
    </xf>
    <xf numFmtId="0" fontId="41" fillId="13" borderId="2" xfId="0" applyFont="1" applyFill="1" applyBorder="1" applyAlignment="1">
      <alignment horizontal="center" vertical="center"/>
    </xf>
    <xf numFmtId="0" fontId="41" fillId="11" borderId="1" xfId="0" applyFont="1" applyFill="1" applyBorder="1" applyAlignment="1">
      <alignment horizontal="center" vertical="center"/>
    </xf>
    <xf numFmtId="0" fontId="41" fillId="11" borderId="0" xfId="0" applyFont="1" applyFill="1" applyAlignment="1">
      <alignment horizontal="center" vertical="center"/>
    </xf>
    <xf numFmtId="0" fontId="31" fillId="0" borderId="0" xfId="0" applyFont="1" applyAlignment="1">
      <alignment vertical="center"/>
    </xf>
    <xf numFmtId="0" fontId="33" fillId="0" borderId="6" xfId="0" applyFont="1" applyBorder="1"/>
    <xf numFmtId="0" fontId="30" fillId="16" borderId="1" xfId="0" applyFont="1" applyFill="1" applyBorder="1" applyAlignment="1">
      <alignment vertical="center"/>
    </xf>
    <xf numFmtId="0" fontId="29" fillId="16" borderId="1" xfId="0" applyFont="1" applyFill="1" applyBorder="1" applyAlignment="1" applyProtection="1">
      <alignment vertical="center"/>
      <protection locked="0"/>
    </xf>
    <xf numFmtId="0" fontId="26" fillId="17" borderId="3" xfId="0" applyFont="1" applyFill="1" applyBorder="1"/>
    <xf numFmtId="0" fontId="10" fillId="17" borderId="1" xfId="0" applyFont="1" applyFill="1" applyBorder="1" applyProtection="1">
      <protection locked="0"/>
    </xf>
    <xf numFmtId="0" fontId="32" fillId="16" borderId="21" xfId="0" applyFont="1" applyFill="1" applyBorder="1"/>
    <xf numFmtId="0" fontId="0" fillId="0" borderId="14" xfId="0" applyBorder="1" applyAlignment="1">
      <alignment vertical="center" wrapText="1"/>
    </xf>
    <xf numFmtId="0" fontId="10" fillId="15" borderId="1" xfId="0" applyFont="1" applyFill="1" applyBorder="1"/>
    <xf numFmtId="0" fontId="41" fillId="6" borderId="1" xfId="0" applyFont="1" applyFill="1" applyBorder="1" applyAlignment="1">
      <alignment horizontal="center" vertical="top"/>
    </xf>
    <xf numFmtId="0" fontId="43" fillId="0" borderId="7" xfId="0" applyFont="1" applyBorder="1" applyAlignment="1">
      <alignment vertical="top"/>
    </xf>
    <xf numFmtId="0" fontId="40" fillId="0" borderId="1" xfId="0" applyFont="1" applyBorder="1" applyAlignment="1">
      <alignment horizontal="center" vertical="top" wrapText="1"/>
    </xf>
    <xf numFmtId="0" fontId="8" fillId="0" borderId="0" xfId="0" applyFont="1" applyAlignment="1">
      <alignment vertical="top"/>
    </xf>
    <xf numFmtId="0" fontId="8" fillId="0" borderId="14" xfId="0" applyFont="1" applyBorder="1" applyAlignment="1">
      <alignment vertical="top"/>
    </xf>
    <xf numFmtId="0" fontId="8" fillId="0" borderId="15" xfId="0" applyFont="1" applyBorder="1" applyAlignment="1">
      <alignment vertical="top"/>
    </xf>
    <xf numFmtId="0" fontId="8" fillId="0" borderId="13" xfId="0" applyFont="1" applyBorder="1" applyAlignment="1">
      <alignment vertical="top"/>
    </xf>
    <xf numFmtId="0" fontId="7" fillId="0" borderId="0" xfId="0" applyFont="1" applyAlignment="1">
      <alignment vertical="top"/>
    </xf>
    <xf numFmtId="0" fontId="32" fillId="2" borderId="1" xfId="0" applyFont="1" applyFill="1" applyBorder="1" applyAlignment="1">
      <alignment horizontal="center" vertical="center"/>
    </xf>
    <xf numFmtId="0" fontId="6" fillId="0" borderId="6" xfId="0" applyFont="1" applyBorder="1" applyAlignment="1">
      <alignment vertical="top" wrapText="1"/>
    </xf>
    <xf numFmtId="0" fontId="6" fillId="14" borderId="1" xfId="0" applyFont="1" applyFill="1" applyBorder="1" applyAlignment="1">
      <alignment vertical="top"/>
    </xf>
    <xf numFmtId="0" fontId="6" fillId="0" borderId="1" xfId="0" applyFont="1" applyBorder="1" applyAlignment="1">
      <alignment vertical="top"/>
    </xf>
    <xf numFmtId="0" fontId="6" fillId="0" borderId="1" xfId="0" quotePrefix="1" applyFont="1" applyBorder="1" applyAlignment="1">
      <alignment horizontal="left" vertical="top"/>
    </xf>
    <xf numFmtId="0" fontId="6" fillId="0" borderId="1" xfId="0" applyFont="1" applyBorder="1"/>
    <xf numFmtId="0" fontId="6" fillId="0" borderId="0" xfId="0" applyFont="1"/>
    <xf numFmtId="0" fontId="6" fillId="6" borderId="1" xfId="0" applyFont="1" applyFill="1" applyBorder="1" applyProtection="1">
      <protection locked="0"/>
    </xf>
    <xf numFmtId="167" fontId="6" fillId="6" borderId="1" xfId="0" applyNumberFormat="1" applyFont="1" applyFill="1" applyBorder="1" applyProtection="1">
      <protection locked="0"/>
    </xf>
    <xf numFmtId="2" fontId="6" fillId="6" borderId="1" xfId="0" applyNumberFormat="1" applyFont="1" applyFill="1" applyBorder="1" applyProtection="1">
      <protection locked="0"/>
    </xf>
    <xf numFmtId="0" fontId="6" fillId="0" borderId="7" xfId="0" applyFont="1" applyBorder="1" applyAlignment="1">
      <alignment vertical="top"/>
    </xf>
    <xf numFmtId="0" fontId="8" fillId="0" borderId="0" xfId="0" applyFont="1" applyAlignment="1" applyProtection="1">
      <alignment vertical="top"/>
      <protection locked="0"/>
    </xf>
    <xf numFmtId="165" fontId="40" fillId="6" borderId="1" xfId="0" applyNumberFormat="1" applyFont="1" applyFill="1" applyBorder="1" applyAlignment="1" applyProtection="1">
      <alignment vertical="top"/>
      <protection locked="0"/>
    </xf>
    <xf numFmtId="0" fontId="40" fillId="6" borderId="1" xfId="0" applyFont="1" applyFill="1" applyBorder="1" applyAlignment="1" applyProtection="1">
      <alignment horizontal="center" vertical="top" wrapText="1"/>
      <protection locked="0"/>
    </xf>
    <xf numFmtId="0" fontId="8" fillId="0" borderId="4" xfId="0" applyFont="1" applyBorder="1" applyAlignment="1" applyProtection="1">
      <alignment vertical="top"/>
      <protection locked="0"/>
    </xf>
    <xf numFmtId="0" fontId="8" fillId="0" borderId="1" xfId="0" applyFont="1" applyBorder="1" applyAlignment="1" applyProtection="1">
      <alignment vertical="top"/>
      <protection locked="0"/>
    </xf>
    <xf numFmtId="0" fontId="8" fillId="0" borderId="5" xfId="0" applyFont="1" applyBorder="1" applyAlignment="1" applyProtection="1">
      <alignment vertical="top"/>
      <protection locked="0"/>
    </xf>
    <xf numFmtId="0" fontId="32" fillId="2" borderId="0" xfId="0" applyFont="1" applyFill="1" applyAlignment="1">
      <alignment horizontal="center" vertical="center"/>
    </xf>
    <xf numFmtId="0" fontId="6" fillId="10" borderId="1" xfId="0" applyFont="1" applyFill="1" applyBorder="1"/>
    <xf numFmtId="3" fontId="6" fillId="10" borderId="1" xfId="0" applyNumberFormat="1" applyFont="1" applyFill="1" applyBorder="1"/>
    <xf numFmtId="1" fontId="6" fillId="10" borderId="1" xfId="0" applyNumberFormat="1" applyFont="1" applyFill="1" applyBorder="1"/>
    <xf numFmtId="169" fontId="6" fillId="10" borderId="1" xfId="0" applyNumberFormat="1" applyFont="1" applyFill="1" applyBorder="1"/>
    <xf numFmtId="165" fontId="6" fillId="10" borderId="1" xfId="0" applyNumberFormat="1" applyFont="1" applyFill="1" applyBorder="1"/>
    <xf numFmtId="3" fontId="6" fillId="0" borderId="1" xfId="0" applyNumberFormat="1" applyFont="1" applyBorder="1"/>
    <xf numFmtId="1" fontId="6" fillId="0" borderId="1" xfId="0" applyNumberFormat="1" applyFont="1" applyBorder="1"/>
    <xf numFmtId="169" fontId="6" fillId="0" borderId="1" xfId="0" applyNumberFormat="1" applyFont="1" applyBorder="1"/>
    <xf numFmtId="165" fontId="6" fillId="0" borderId="1" xfId="0" applyNumberFormat="1" applyFont="1" applyBorder="1"/>
    <xf numFmtId="0" fontId="32" fillId="2" borderId="0" xfId="0" applyFont="1" applyFill="1" applyAlignment="1">
      <alignment horizontal="center"/>
    </xf>
    <xf numFmtId="0" fontId="6" fillId="10" borderId="1" xfId="0" applyFont="1" applyFill="1" applyBorder="1" applyAlignment="1">
      <alignment horizontal="right"/>
    </xf>
    <xf numFmtId="0" fontId="6" fillId="10" borderId="1" xfId="0" applyFont="1" applyFill="1" applyBorder="1" applyAlignment="1">
      <alignment vertical="center"/>
    </xf>
    <xf numFmtId="170" fontId="6" fillId="10" borderId="1" xfId="0" applyNumberFormat="1" applyFont="1" applyFill="1" applyBorder="1" applyAlignment="1">
      <alignment vertical="center"/>
    </xf>
    <xf numFmtId="0" fontId="32" fillId="8" borderId="1" xfId="0" applyFont="1" applyFill="1" applyBorder="1" applyAlignment="1">
      <alignment horizontal="center" vertical="top"/>
    </xf>
    <xf numFmtId="0" fontId="32" fillId="8" borderId="2" xfId="0" applyFont="1" applyFill="1" applyBorder="1" applyAlignment="1">
      <alignment horizontal="center"/>
    </xf>
    <xf numFmtId="4" fontId="6" fillId="0" borderId="19" xfId="0" applyNumberFormat="1" applyFont="1" applyBorder="1"/>
    <xf numFmtId="4" fontId="6" fillId="9" borderId="19" xfId="0" applyNumberFormat="1" applyFont="1" applyFill="1" applyBorder="1"/>
    <xf numFmtId="4" fontId="6" fillId="9" borderId="16" xfId="0" quotePrefix="1" applyNumberFormat="1" applyFont="1" applyFill="1" applyBorder="1"/>
    <xf numFmtId="4" fontId="6" fillId="9" borderId="17" xfId="0" quotePrefix="1" applyNumberFormat="1" applyFont="1" applyFill="1" applyBorder="1"/>
    <xf numFmtId="4" fontId="6" fillId="0" borderId="0" xfId="0" quotePrefix="1" applyNumberFormat="1" applyFont="1"/>
    <xf numFmtId="4" fontId="6" fillId="9" borderId="18" xfId="0" quotePrefix="1" applyNumberFormat="1" applyFont="1" applyFill="1" applyBorder="1"/>
    <xf numFmtId="4" fontId="6" fillId="0" borderId="15" xfId="0" quotePrefix="1" applyNumberFormat="1" applyFont="1" applyBorder="1"/>
    <xf numFmtId="4" fontId="6" fillId="9" borderId="19" xfId="0" quotePrefix="1" applyNumberFormat="1" applyFont="1" applyFill="1" applyBorder="1"/>
    <xf numFmtId="4" fontId="6" fillId="9" borderId="20" xfId="0" quotePrefix="1" applyNumberFormat="1" applyFont="1" applyFill="1" applyBorder="1"/>
    <xf numFmtId="4" fontId="39" fillId="8" borderId="1" xfId="0" applyNumberFormat="1" applyFont="1" applyFill="1" applyBorder="1"/>
    <xf numFmtId="0" fontId="21" fillId="6" borderId="1" xfId="1" applyFill="1" applyBorder="1" applyProtection="1">
      <protection locked="0"/>
    </xf>
    <xf numFmtId="0" fontId="53" fillId="0" borderId="0" xfId="0" applyFont="1"/>
    <xf numFmtId="0" fontId="5" fillId="6" borderId="1" xfId="0" applyFont="1" applyFill="1" applyBorder="1" applyAlignment="1" applyProtection="1">
      <alignment vertical="top"/>
      <protection locked="0"/>
    </xf>
    <xf numFmtId="165" fontId="6" fillId="10" borderId="4" xfId="0" applyNumberFormat="1" applyFont="1" applyFill="1" applyBorder="1"/>
    <xf numFmtId="165" fontId="22" fillId="10" borderId="4" xfId="0" applyNumberFormat="1" applyFont="1" applyFill="1" applyBorder="1"/>
    <xf numFmtId="0" fontId="32" fillId="0" borderId="0" xfId="0" applyFont="1" applyAlignment="1">
      <alignment horizontal="center" vertical="center"/>
    </xf>
    <xf numFmtId="165" fontId="6" fillId="0" borderId="0" xfId="0" applyNumberFormat="1" applyFont="1"/>
    <xf numFmtId="0" fontId="35" fillId="0" borderId="0" xfId="0" applyFont="1" applyAlignment="1">
      <alignment vertical="center"/>
    </xf>
    <xf numFmtId="0" fontId="32" fillId="0" borderId="0" xfId="0" applyFont="1"/>
    <xf numFmtId="0" fontId="32" fillId="0" borderId="0" xfId="0" applyFont="1" applyAlignment="1">
      <alignment vertical="center" wrapText="1"/>
    </xf>
    <xf numFmtId="0" fontId="32" fillId="0" borderId="0" xfId="0" applyFont="1" applyAlignment="1">
      <alignment horizontal="center" vertical="top"/>
    </xf>
    <xf numFmtId="0" fontId="4" fillId="0" borderId="5" xfId="0" applyFont="1" applyBorder="1" applyAlignment="1" applyProtection="1">
      <alignment vertical="top"/>
      <protection locked="0"/>
    </xf>
    <xf numFmtId="0" fontId="40" fillId="0" borderId="1" xfId="0" applyFont="1" applyBorder="1" applyAlignment="1" applyProtection="1">
      <alignment vertical="top"/>
      <protection locked="0"/>
    </xf>
    <xf numFmtId="0" fontId="40" fillId="0" borderId="4" xfId="0" applyFont="1" applyBorder="1" applyAlignment="1" applyProtection="1">
      <alignment vertical="top"/>
      <protection locked="0"/>
    </xf>
    <xf numFmtId="0" fontId="40" fillId="0" borderId="5" xfId="0" applyFont="1" applyBorder="1" applyAlignment="1" applyProtection="1">
      <alignment vertical="top"/>
      <protection locked="0"/>
    </xf>
    <xf numFmtId="0" fontId="54" fillId="0" borderId="0" xfId="0" applyFont="1" applyAlignment="1">
      <alignment vertical="top"/>
    </xf>
    <xf numFmtId="0" fontId="25" fillId="0" borderId="0" xfId="0" applyFont="1" applyAlignment="1">
      <alignment horizontal="left"/>
    </xf>
    <xf numFmtId="0" fontId="54" fillId="0" borderId="0" xfId="0" applyFont="1" applyAlignment="1">
      <alignment horizontal="left" vertical="top"/>
    </xf>
    <xf numFmtId="0" fontId="23" fillId="0" borderId="0" xfId="0" applyFont="1" applyAlignment="1">
      <alignment vertical="top"/>
    </xf>
    <xf numFmtId="0" fontId="11" fillId="3" borderId="0" xfId="0" applyFont="1" applyFill="1"/>
    <xf numFmtId="2" fontId="11" fillId="3" borderId="0" xfId="0" applyNumberFormat="1" applyFont="1" applyFill="1" applyProtection="1">
      <protection locked="0"/>
    </xf>
    <xf numFmtId="2" fontId="11" fillId="0" borderId="0" xfId="0" applyNumberFormat="1" applyFont="1" applyProtection="1">
      <protection locked="0"/>
    </xf>
    <xf numFmtId="0" fontId="37" fillId="0" borderId="0" xfId="0" applyFont="1"/>
    <xf numFmtId="0" fontId="19" fillId="0" borderId="1" xfId="0" applyFont="1" applyBorder="1" applyAlignment="1">
      <alignment horizontal="left" vertical="top"/>
    </xf>
    <xf numFmtId="0" fontId="48" fillId="0" borderId="0" xfId="0" applyFont="1" applyAlignment="1">
      <alignment vertical="top"/>
    </xf>
    <xf numFmtId="165" fontId="6" fillId="0" borderId="4" xfId="0" applyNumberFormat="1" applyFont="1" applyBorder="1"/>
    <xf numFmtId="4" fontId="6" fillId="9" borderId="22" xfId="0" quotePrefix="1" applyNumberFormat="1" applyFont="1" applyFill="1" applyBorder="1"/>
    <xf numFmtId="0" fontId="34" fillId="0" borderId="0" xfId="0" applyFont="1" applyAlignment="1">
      <alignment vertical="top"/>
    </xf>
    <xf numFmtId="0" fontId="34" fillId="0" borderId="0" xfId="0" applyFont="1" applyAlignment="1">
      <alignment vertical="center"/>
    </xf>
    <xf numFmtId="0" fontId="16" fillId="0" borderId="0" xfId="0" applyFont="1"/>
    <xf numFmtId="0" fontId="16" fillId="0" borderId="1" xfId="0" applyFont="1" applyBorder="1"/>
    <xf numFmtId="0" fontId="3" fillId="10" borderId="1" xfId="0" applyFont="1" applyFill="1" applyBorder="1"/>
    <xf numFmtId="4" fontId="6" fillId="9" borderId="23" xfId="0" quotePrefix="1" applyNumberFormat="1" applyFont="1" applyFill="1" applyBorder="1"/>
    <xf numFmtId="0" fontId="6" fillId="0" borderId="24" xfId="0" applyFont="1" applyBorder="1" applyAlignment="1">
      <alignment horizontal="left" indent="2"/>
    </xf>
    <xf numFmtId="4" fontId="6" fillId="9" borderId="24" xfId="0" quotePrefix="1" applyNumberFormat="1" applyFont="1" applyFill="1" applyBorder="1" applyAlignment="1">
      <alignment horizontal="left" indent="2"/>
    </xf>
    <xf numFmtId="0" fontId="6" fillId="0" borderId="24" xfId="0" applyFont="1" applyBorder="1" applyAlignment="1">
      <alignment horizontal="left"/>
    </xf>
    <xf numFmtId="4" fontId="6" fillId="9" borderId="24" xfId="0" quotePrefix="1" applyNumberFormat="1" applyFont="1" applyFill="1" applyBorder="1" applyAlignment="1">
      <alignment horizontal="left"/>
    </xf>
    <xf numFmtId="4" fontId="6" fillId="9" borderId="25" xfId="0" quotePrefix="1" applyNumberFormat="1" applyFont="1" applyFill="1" applyBorder="1" applyAlignment="1">
      <alignment horizontal="left" indent="2"/>
    </xf>
    <xf numFmtId="0" fontId="3" fillId="6" borderId="1" xfId="0" applyFont="1" applyFill="1" applyBorder="1" applyAlignment="1" applyProtection="1">
      <alignment vertical="top"/>
      <protection locked="0"/>
    </xf>
    <xf numFmtId="0" fontId="34" fillId="0" borderId="0" xfId="0" applyFont="1" applyAlignment="1">
      <alignment horizontal="left" vertical="top"/>
    </xf>
    <xf numFmtId="0" fontId="0" fillId="0" borderId="0" xfId="0" applyAlignment="1">
      <alignment vertical="center"/>
    </xf>
    <xf numFmtId="0" fontId="16" fillId="0" borderId="0" xfId="0" applyFont="1" applyAlignment="1">
      <alignment vertical="center"/>
    </xf>
    <xf numFmtId="0" fontId="60" fillId="0" borderId="0" xfId="0" applyFont="1" applyProtection="1">
      <protection locked="0"/>
    </xf>
    <xf numFmtId="0" fontId="61" fillId="0" borderId="0" xfId="0" applyFont="1" applyProtection="1">
      <protection locked="0"/>
    </xf>
    <xf numFmtId="0" fontId="61" fillId="0" borderId="0" xfId="0" applyFont="1" applyAlignment="1" applyProtection="1">
      <alignment vertical="center"/>
      <protection locked="0"/>
    </xf>
    <xf numFmtId="0" fontId="60" fillId="0" borderId="0" xfId="0" applyFont="1" applyAlignment="1" applyProtection="1">
      <alignment vertical="center"/>
      <protection locked="0"/>
    </xf>
    <xf numFmtId="0" fontId="32" fillId="2" borderId="1" xfId="0" applyFont="1" applyFill="1" applyBorder="1" applyAlignment="1">
      <alignment horizontal="center" vertical="top" wrapText="1"/>
    </xf>
    <xf numFmtId="4" fontId="3" fillId="9" borderId="26" xfId="0" quotePrefix="1" applyNumberFormat="1" applyFont="1" applyFill="1" applyBorder="1"/>
    <xf numFmtId="4" fontId="3" fillId="0" borderId="14" xfId="0" quotePrefix="1" applyNumberFormat="1" applyFont="1" applyBorder="1"/>
    <xf numFmtId="4" fontId="3" fillId="9" borderId="27" xfId="0" quotePrefix="1" applyNumberFormat="1" applyFont="1" applyFill="1" applyBorder="1"/>
    <xf numFmtId="4" fontId="3" fillId="9" borderId="28" xfId="0" quotePrefix="1" applyNumberFormat="1" applyFont="1" applyFill="1" applyBorder="1"/>
    <xf numFmtId="0" fontId="8" fillId="0" borderId="5" xfId="0" applyFont="1" applyBorder="1" applyAlignment="1">
      <alignment horizontal="center" vertical="top" wrapText="1"/>
    </xf>
    <xf numFmtId="0" fontId="23" fillId="0" borderId="2" xfId="0" applyFont="1" applyBorder="1" applyAlignment="1">
      <alignment vertical="top"/>
    </xf>
    <xf numFmtId="0" fontId="6" fillId="0" borderId="6" xfId="0" applyFont="1" applyBorder="1" applyAlignment="1">
      <alignment horizontal="center" vertical="top" wrapText="1"/>
    </xf>
    <xf numFmtId="0" fontId="7" fillId="0" borderId="6" xfId="0" applyFont="1" applyBorder="1" applyAlignment="1">
      <alignment horizontal="center" vertical="top" wrapText="1"/>
    </xf>
    <xf numFmtId="0" fontId="8" fillId="0" borderId="3" xfId="0" applyFont="1" applyBorder="1" applyAlignment="1">
      <alignment horizontal="center" vertical="top" wrapText="1"/>
    </xf>
    <xf numFmtId="0" fontId="8" fillId="0" borderId="6" xfId="0" applyFont="1" applyBorder="1" applyAlignment="1">
      <alignment horizontal="center" vertical="top" wrapText="1"/>
    </xf>
    <xf numFmtId="0" fontId="8" fillId="0" borderId="3" xfId="0" applyFont="1" applyBorder="1" applyAlignment="1">
      <alignment vertical="top" wrapText="1"/>
    </xf>
    <xf numFmtId="0" fontId="32" fillId="0" borderId="2" xfId="0" applyFont="1" applyBorder="1" applyAlignment="1" applyProtection="1">
      <alignment horizontal="center" vertical="top"/>
      <protection locked="0"/>
    </xf>
    <xf numFmtId="0" fontId="8" fillId="0" borderId="6" xfId="0" applyFont="1" applyBorder="1" applyAlignment="1">
      <alignment vertical="top"/>
    </xf>
    <xf numFmtId="0" fontId="7" fillId="0" borderId="6" xfId="0" applyFont="1" applyBorder="1" applyAlignment="1">
      <alignment vertical="top"/>
    </xf>
    <xf numFmtId="0" fontId="7" fillId="0" borderId="3" xfId="0" applyFont="1" applyBorder="1" applyAlignment="1">
      <alignment vertical="top" wrapText="1"/>
    </xf>
    <xf numFmtId="0" fontId="8" fillId="0" borderId="6" xfId="0" applyFont="1" applyBorder="1" applyAlignment="1">
      <alignment vertical="top" wrapText="1"/>
    </xf>
    <xf numFmtId="0" fontId="8" fillId="0" borderId="3" xfId="0" applyFont="1" applyBorder="1" applyAlignment="1">
      <alignment vertical="top"/>
    </xf>
    <xf numFmtId="0" fontId="23" fillId="0" borderId="2" xfId="0" applyFont="1" applyBorder="1" applyAlignment="1">
      <alignment vertical="top" wrapText="1"/>
    </xf>
    <xf numFmtId="0" fontId="6" fillId="0" borderId="6" xfId="0" applyFont="1" applyBorder="1" applyAlignment="1">
      <alignment horizontal="center" vertical="center" wrapText="1"/>
    </xf>
    <xf numFmtId="0" fontId="44" fillId="0" borderId="0" xfId="0" applyFont="1" applyAlignment="1">
      <alignment horizontal="right"/>
    </xf>
    <xf numFmtId="0" fontId="32" fillId="2" borderId="2" xfId="0" applyFont="1" applyFill="1" applyBorder="1" applyAlignment="1">
      <alignment horizontal="center" vertical="top"/>
    </xf>
    <xf numFmtId="0" fontId="32" fillId="2" borderId="2" xfId="0" applyFont="1" applyFill="1" applyBorder="1" applyAlignment="1">
      <alignment horizontal="center" vertical="center"/>
    </xf>
    <xf numFmtId="10" fontId="6" fillId="6" borderId="1" xfId="0" applyNumberFormat="1" applyFont="1" applyFill="1" applyBorder="1" applyProtection="1">
      <protection locked="0"/>
    </xf>
    <xf numFmtId="168" fontId="40" fillId="0" borderId="0" xfId="0" applyNumberFormat="1" applyFont="1"/>
    <xf numFmtId="0" fontId="40" fillId="0" borderId="0" xfId="0" applyFont="1"/>
    <xf numFmtId="165" fontId="40" fillId="0" borderId="0" xfId="0" applyNumberFormat="1" applyFont="1"/>
    <xf numFmtId="168" fontId="40" fillId="19" borderId="1" xfId="0" applyNumberFormat="1" applyFont="1" applyFill="1" applyBorder="1"/>
    <xf numFmtId="2" fontId="40" fillId="19" borderId="1" xfId="0" applyNumberFormat="1" applyFont="1" applyFill="1" applyBorder="1"/>
    <xf numFmtId="4" fontId="6" fillId="10" borderId="1" xfId="0" applyNumberFormat="1" applyFont="1" applyFill="1" applyBorder="1"/>
    <xf numFmtId="4" fontId="6" fillId="0" borderId="1" xfId="0" applyNumberFormat="1" applyFont="1" applyBorder="1"/>
    <xf numFmtId="0" fontId="32" fillId="2" borderId="0" xfId="0" applyFont="1" applyFill="1" applyAlignment="1">
      <alignment horizontal="center" vertical="top"/>
    </xf>
    <xf numFmtId="0" fontId="27" fillId="6" borderId="11" xfId="0" applyFont="1" applyFill="1" applyBorder="1" applyAlignment="1">
      <alignment horizontal="center" vertical="top"/>
    </xf>
    <xf numFmtId="171" fontId="6" fillId="6" borderId="1" xfId="0" applyNumberFormat="1" applyFont="1" applyFill="1" applyBorder="1" applyProtection="1">
      <protection locked="0"/>
    </xf>
    <xf numFmtId="0" fontId="40" fillId="19" borderId="1" xfId="0" applyFont="1" applyFill="1" applyBorder="1"/>
    <xf numFmtId="0" fontId="39" fillId="19" borderId="1" xfId="0" applyFont="1" applyFill="1" applyBorder="1"/>
    <xf numFmtId="0" fontId="2" fillId="0" borderId="0" xfId="0" applyFont="1" applyAlignment="1">
      <alignment vertical="top"/>
    </xf>
    <xf numFmtId="170" fontId="6" fillId="0" borderId="1" xfId="0" applyNumberFormat="1" applyFont="1" applyBorder="1"/>
    <xf numFmtId="0" fontId="6" fillId="0" borderId="1" xfId="0" applyFont="1" applyBorder="1" applyAlignment="1">
      <alignment horizontal="right"/>
    </xf>
    <xf numFmtId="0" fontId="6" fillId="0" borderId="1" xfId="0" applyFont="1" applyBorder="1" applyAlignment="1">
      <alignment vertical="center"/>
    </xf>
    <xf numFmtId="0" fontId="3" fillId="0" borderId="1" xfId="0" applyFont="1" applyBorder="1"/>
    <xf numFmtId="0" fontId="6" fillId="0" borderId="2"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left" vertical="top" wrapText="1"/>
    </xf>
    <xf numFmtId="170" fontId="6" fillId="0" borderId="1" xfId="0" applyNumberFormat="1" applyFont="1" applyBorder="1" applyAlignment="1">
      <alignment vertical="center"/>
    </xf>
    <xf numFmtId="0" fontId="48" fillId="18" borderId="4" xfId="0" applyFont="1" applyFill="1" applyBorder="1" applyAlignment="1">
      <alignment horizontal="left" vertical="center"/>
    </xf>
    <xf numFmtId="0" fontId="48" fillId="18" borderId="8" xfId="0" applyFont="1" applyFill="1" applyBorder="1" applyAlignment="1">
      <alignment horizontal="left" vertical="center"/>
    </xf>
    <xf numFmtId="0" fontId="48" fillId="18" borderId="5" xfId="0" applyFont="1" applyFill="1" applyBorder="1" applyAlignment="1">
      <alignment horizontal="left" vertical="center"/>
    </xf>
    <xf numFmtId="0" fontId="49" fillId="18" borderId="0" xfId="0" applyFont="1" applyFill="1" applyAlignment="1">
      <alignment horizontal="left" vertical="center"/>
    </xf>
    <xf numFmtId="0" fontId="11" fillId="0" borderId="4" xfId="0" applyFont="1" applyBorder="1" applyAlignment="1">
      <alignment vertical="center" wrapText="1"/>
    </xf>
    <xf numFmtId="0" fontId="11" fillId="0" borderId="8" xfId="0" applyFont="1" applyBorder="1" applyAlignment="1">
      <alignment vertical="center" wrapText="1"/>
    </xf>
    <xf numFmtId="0" fontId="11" fillId="0" borderId="5" xfId="0" applyFont="1" applyBorder="1" applyAlignment="1">
      <alignment vertical="center" wrapText="1"/>
    </xf>
    <xf numFmtId="0" fontId="11" fillId="0" borderId="4" xfId="0" applyFont="1" applyBorder="1" applyAlignment="1">
      <alignment horizontal="justify" vertical="center"/>
    </xf>
    <xf numFmtId="0" fontId="11" fillId="0" borderId="8" xfId="0" applyFont="1" applyBorder="1" applyAlignment="1">
      <alignment horizontal="justify" vertical="center"/>
    </xf>
    <xf numFmtId="0" fontId="11" fillId="0" borderId="8" xfId="0" applyFont="1" applyBorder="1"/>
    <xf numFmtId="0" fontId="11" fillId="0" borderId="5" xfId="0" applyFont="1" applyBorder="1"/>
    <xf numFmtId="0" fontId="11" fillId="0" borderId="7" xfId="0" applyFont="1" applyBorder="1" applyAlignment="1">
      <alignment horizontal="justify" vertical="center"/>
    </xf>
    <xf numFmtId="0" fontId="11" fillId="0" borderId="13" xfId="0" applyFont="1" applyBorder="1" applyAlignment="1">
      <alignment horizontal="justify" vertical="center"/>
    </xf>
    <xf numFmtId="0" fontId="11" fillId="0" borderId="13" xfId="0" applyFont="1" applyBorder="1"/>
    <xf numFmtId="0" fontId="11" fillId="0" borderId="11" xfId="0" applyFont="1" applyBorder="1"/>
    <xf numFmtId="0" fontId="11" fillId="0" borderId="14" xfId="0" applyFont="1" applyBorder="1" applyAlignment="1">
      <alignment horizontal="justify" vertical="center"/>
    </xf>
    <xf numFmtId="0" fontId="11" fillId="0" borderId="0" xfId="0" applyFont="1" applyAlignment="1">
      <alignment horizontal="justify" vertical="center"/>
    </xf>
    <xf numFmtId="0" fontId="11" fillId="0" borderId="0" xfId="0" applyFont="1"/>
    <xf numFmtId="0" fontId="11" fillId="0" borderId="15" xfId="0" applyFont="1" applyBorder="1"/>
    <xf numFmtId="0" fontId="11" fillId="0" borderId="9" xfId="0" applyFont="1" applyBorder="1" applyAlignment="1">
      <alignment horizontal="justify" vertical="center"/>
    </xf>
    <xf numFmtId="0" fontId="11" fillId="0" borderId="10" xfId="0" applyFont="1" applyBorder="1" applyAlignment="1">
      <alignment horizontal="justify" vertical="center"/>
    </xf>
    <xf numFmtId="0" fontId="11" fillId="0" borderId="10" xfId="0" applyFont="1" applyBorder="1"/>
    <xf numFmtId="0" fontId="11" fillId="0" borderId="12" xfId="0" applyFont="1" applyBorder="1"/>
    <xf numFmtId="0" fontId="40" fillId="0" borderId="4" xfId="0" applyFont="1" applyBorder="1" applyAlignment="1">
      <alignment vertical="center" wrapText="1"/>
    </xf>
    <xf numFmtId="0" fontId="40" fillId="0" borderId="8" xfId="0" applyFont="1" applyBorder="1" applyAlignment="1">
      <alignment vertical="center" wrapText="1"/>
    </xf>
    <xf numFmtId="0" fontId="40" fillId="0" borderId="5" xfId="0" applyFont="1" applyBorder="1" applyAlignment="1">
      <alignment vertical="center" wrapText="1"/>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51" fillId="0" borderId="4" xfId="0" applyFont="1" applyBorder="1" applyAlignment="1">
      <alignment horizontal="left" vertical="center"/>
    </xf>
    <xf numFmtId="0" fontId="51" fillId="0" borderId="5" xfId="0" applyFont="1" applyBorder="1" applyAlignment="1">
      <alignment horizontal="left" vertical="center"/>
    </xf>
    <xf numFmtId="0" fontId="43" fillId="0" borderId="4" xfId="0" applyFont="1" applyBorder="1" applyAlignment="1">
      <alignment horizontal="left" vertical="center"/>
    </xf>
    <xf numFmtId="0" fontId="43" fillId="0" borderId="5" xfId="0" applyFont="1" applyBorder="1" applyAlignment="1">
      <alignment horizontal="left" vertical="center"/>
    </xf>
    <xf numFmtId="0" fontId="52" fillId="0" borderId="4" xfId="0" applyFont="1" applyBorder="1" applyAlignment="1">
      <alignment horizontal="left" vertical="center"/>
    </xf>
    <xf numFmtId="0" fontId="52" fillId="0" borderId="5" xfId="0" applyFont="1" applyBorder="1" applyAlignment="1">
      <alignment horizontal="left" vertical="center"/>
    </xf>
    <xf numFmtId="0" fontId="25" fillId="0" borderId="10" xfId="0" applyFont="1" applyBorder="1" applyAlignment="1">
      <alignment horizontal="left" vertical="center"/>
    </xf>
    <xf numFmtId="0" fontId="38" fillId="16" borderId="14" xfId="0" applyFont="1" applyFill="1" applyBorder="1" applyAlignment="1">
      <alignment horizontal="center" vertical="center"/>
    </xf>
    <xf numFmtId="0" fontId="38" fillId="16" borderId="0" xfId="0" applyFont="1" applyFill="1" applyAlignment="1">
      <alignment horizontal="center" vertical="center"/>
    </xf>
    <xf numFmtId="0" fontId="40" fillId="0" borderId="1" xfId="0" applyFont="1" applyBorder="1" applyAlignment="1">
      <alignment vertical="center" wrapText="1"/>
    </xf>
    <xf numFmtId="0" fontId="38" fillId="16" borderId="1" xfId="0" applyFont="1" applyFill="1" applyBorder="1" applyAlignment="1">
      <alignment horizontal="center" vertical="center"/>
    </xf>
    <xf numFmtId="0" fontId="21" fillId="0" borderId="4" xfId="1" applyBorder="1" applyAlignment="1">
      <alignment horizontal="left" vertical="center"/>
    </xf>
    <xf numFmtId="0" fontId="50" fillId="0" borderId="5" xfId="0" applyFont="1" applyBorder="1" applyAlignment="1">
      <alignment horizontal="left" vertical="center"/>
    </xf>
    <xf numFmtId="4" fontId="57" fillId="0" borderId="0" xfId="0" applyNumberFormat="1" applyFont="1" applyAlignment="1">
      <alignment horizontal="center" vertical="center"/>
    </xf>
    <xf numFmtId="0" fontId="56" fillId="0" borderId="0" xfId="0" applyFont="1" applyAlignment="1">
      <alignment horizontal="center" vertical="center"/>
    </xf>
    <xf numFmtId="0" fontId="12" fillId="0" borderId="0" xfId="0" applyFont="1" applyAlignment="1">
      <alignment horizontal="center" vertical="center"/>
    </xf>
    <xf numFmtId="0" fontId="34" fillId="8" borderId="0" xfId="0" applyFont="1" applyFill="1" applyAlignment="1">
      <alignment horizontal="left" vertical="top"/>
    </xf>
    <xf numFmtId="0" fontId="59" fillId="8" borderId="4" xfId="0" applyFont="1" applyFill="1" applyBorder="1" applyAlignment="1">
      <alignment horizontal="left" vertical="top"/>
    </xf>
    <xf numFmtId="0" fontId="59" fillId="8" borderId="8" xfId="0" applyFont="1" applyFill="1" applyBorder="1" applyAlignment="1">
      <alignment horizontal="left" vertical="top"/>
    </xf>
    <xf numFmtId="0" fontId="59" fillId="8" borderId="5" xfId="0" applyFont="1" applyFill="1" applyBorder="1" applyAlignment="1">
      <alignment horizontal="left" vertical="top"/>
    </xf>
    <xf numFmtId="170" fontId="58" fillId="9" borderId="4" xfId="0" applyNumberFormat="1" applyFont="1" applyFill="1" applyBorder="1" applyAlignment="1">
      <alignment horizontal="left" vertical="top"/>
    </xf>
    <xf numFmtId="170" fontId="58" fillId="9" borderId="8" xfId="0" applyNumberFormat="1" applyFont="1" applyFill="1" applyBorder="1" applyAlignment="1">
      <alignment horizontal="left" vertical="top"/>
    </xf>
    <xf numFmtId="170" fontId="58" fillId="9" borderId="5" xfId="0" applyNumberFormat="1" applyFont="1" applyFill="1" applyBorder="1" applyAlignment="1">
      <alignment horizontal="left" vertical="top"/>
    </xf>
    <xf numFmtId="0" fontId="39" fillId="8" borderId="1" xfId="0" applyFont="1" applyFill="1" applyBorder="1" applyAlignment="1">
      <alignment horizontal="left"/>
    </xf>
    <xf numFmtId="0" fontId="25" fillId="0" borderId="0" xfId="0" applyFont="1" applyAlignment="1">
      <alignment horizontal="left"/>
    </xf>
    <xf numFmtId="0" fontId="32" fillId="8" borderId="2" xfId="0" applyFont="1" applyFill="1" applyBorder="1" applyAlignment="1">
      <alignment horizontal="center" vertical="top" wrapText="1"/>
    </xf>
    <xf numFmtId="0" fontId="32" fillId="8" borderId="6" xfId="0" applyFont="1" applyFill="1" applyBorder="1" applyAlignment="1">
      <alignment horizontal="center" vertical="top" wrapText="1"/>
    </xf>
    <xf numFmtId="170" fontId="6" fillId="9" borderId="1" xfId="0" applyNumberFormat="1" applyFont="1" applyFill="1" applyBorder="1" applyAlignment="1">
      <alignment horizontal="left"/>
    </xf>
    <xf numFmtId="0" fontId="39" fillId="7" borderId="4" xfId="0" applyFont="1" applyFill="1" applyBorder="1" applyAlignment="1">
      <alignment horizontal="left"/>
    </xf>
    <xf numFmtId="0" fontId="39" fillId="7" borderId="5" xfId="0" applyFont="1" applyFill="1" applyBorder="1" applyAlignment="1">
      <alignment horizontal="left"/>
    </xf>
    <xf numFmtId="0" fontId="32" fillId="8" borderId="2" xfId="0" applyFont="1" applyFill="1" applyBorder="1" applyAlignment="1">
      <alignment horizontal="center" vertical="top"/>
    </xf>
    <xf numFmtId="0" fontId="32" fillId="8" borderId="3" xfId="0" applyFont="1" applyFill="1" applyBorder="1" applyAlignment="1">
      <alignment horizontal="center" vertical="top"/>
    </xf>
    <xf numFmtId="0" fontId="40" fillId="0" borderId="1" xfId="0" applyFont="1" applyBorder="1" applyAlignment="1">
      <alignment horizontal="left" vertical="top" wrapText="1"/>
    </xf>
    <xf numFmtId="0" fontId="5" fillId="0" borderId="1" xfId="0" applyFont="1" applyBorder="1" applyAlignment="1">
      <alignment horizontal="left" vertical="top" wrapText="1"/>
    </xf>
    <xf numFmtId="0" fontId="8" fillId="6" borderId="4" xfId="0" applyFont="1" applyFill="1" applyBorder="1" applyAlignment="1" applyProtection="1">
      <alignment horizontal="center" vertical="top" wrapText="1"/>
      <protection locked="0"/>
    </xf>
    <xf numFmtId="0" fontId="5" fillId="0" borderId="2" xfId="0" applyFont="1" applyBorder="1" applyAlignment="1">
      <alignment vertical="top" wrapText="1"/>
    </xf>
    <xf numFmtId="0" fontId="5" fillId="0" borderId="6" xfId="0" applyFont="1" applyBorder="1" applyAlignment="1">
      <alignment vertical="top" wrapText="1"/>
    </xf>
    <xf numFmtId="0" fontId="5" fillId="0" borderId="1" xfId="0" applyFont="1" applyBorder="1" applyAlignment="1">
      <alignment horizontal="left" vertical="top"/>
    </xf>
    <xf numFmtId="0" fontId="54" fillId="0" borderId="10" xfId="0" applyFont="1" applyBorder="1" applyAlignment="1">
      <alignment horizontal="left" vertical="top"/>
    </xf>
    <xf numFmtId="0" fontId="48" fillId="2" borderId="0" xfId="0" applyFont="1" applyFill="1" applyAlignment="1">
      <alignment horizontal="left" vertical="top"/>
    </xf>
    <xf numFmtId="0" fontId="11" fillId="3" borderId="1" xfId="0" applyFont="1" applyFill="1" applyBorder="1"/>
    <xf numFmtId="0" fontId="32" fillId="2" borderId="1" xfId="0" applyFont="1" applyFill="1" applyBorder="1" applyAlignment="1">
      <alignment horizontal="center" vertical="top"/>
    </xf>
    <xf numFmtId="49" fontId="11" fillId="6" borderId="1" xfId="0" quotePrefix="1" applyNumberFormat="1" applyFont="1" applyFill="1" applyBorder="1" applyProtection="1">
      <protection locked="0"/>
    </xf>
    <xf numFmtId="49" fontId="9" fillId="6" borderId="1" xfId="0" quotePrefix="1" applyNumberFormat="1" applyFont="1" applyFill="1" applyBorder="1" applyProtection="1">
      <protection locked="0"/>
    </xf>
    <xf numFmtId="49" fontId="1" fillId="6" borderId="1" xfId="0" quotePrefix="1" applyNumberFormat="1" applyFont="1" applyFill="1" applyBorder="1" applyProtection="1">
      <protection locked="0"/>
    </xf>
    <xf numFmtId="0" fontId="32" fillId="2" borderId="1" xfId="0" applyFont="1" applyFill="1" applyBorder="1" applyAlignment="1">
      <alignment horizontal="left" vertical="top" wrapText="1"/>
    </xf>
    <xf numFmtId="0" fontId="26" fillId="0" borderId="1" xfId="0" applyFont="1" applyBorder="1" applyAlignment="1">
      <alignment horizontal="left" vertical="top" wrapText="1"/>
    </xf>
    <xf numFmtId="0" fontId="54" fillId="0" borderId="9" xfId="0" applyFont="1" applyBorder="1" applyAlignment="1">
      <alignment horizontal="left" vertical="top"/>
    </xf>
    <xf numFmtId="0" fontId="5" fillId="0" borderId="1" xfId="0" applyFont="1" applyBorder="1" applyAlignment="1">
      <alignment vertical="top" wrapText="1"/>
    </xf>
    <xf numFmtId="0" fontId="32" fillId="2" borderId="4" xfId="0" applyFont="1" applyFill="1" applyBorder="1" applyAlignment="1">
      <alignment horizontal="center" vertical="top"/>
    </xf>
    <xf numFmtId="0" fontId="35" fillId="2" borderId="5" xfId="0" applyFont="1" applyFill="1" applyBorder="1" applyAlignment="1">
      <alignment horizontal="center" vertical="top"/>
    </xf>
    <xf numFmtId="1" fontId="11" fillId="6" borderId="1" xfId="0" applyNumberFormat="1" applyFont="1" applyFill="1" applyBorder="1" applyAlignment="1" applyProtection="1">
      <alignment horizontal="left"/>
      <protection locked="0"/>
    </xf>
    <xf numFmtId="0" fontId="37" fillId="0" borderId="4" xfId="0" applyFont="1" applyBorder="1"/>
    <xf numFmtId="0" fontId="37" fillId="0" borderId="5" xfId="0" applyFont="1" applyBorder="1"/>
    <xf numFmtId="0" fontId="40" fillId="0" borderId="1" xfId="0" applyFont="1" applyBorder="1" applyAlignment="1">
      <alignment vertical="top" wrapText="1"/>
    </xf>
    <xf numFmtId="0" fontId="5" fillId="0" borderId="3" xfId="0" applyFont="1" applyBorder="1" applyAlignment="1">
      <alignment vertical="top" wrapText="1"/>
    </xf>
    <xf numFmtId="0" fontId="5" fillId="0" borderId="1" xfId="0" applyFont="1" applyBorder="1" applyAlignment="1">
      <alignment vertical="top"/>
    </xf>
    <xf numFmtId="0" fontId="32" fillId="2" borderId="1" xfId="0" applyFont="1" applyFill="1" applyBorder="1" applyAlignment="1">
      <alignment horizontal="center" vertical="top" wrapText="1"/>
    </xf>
    <xf numFmtId="0" fontId="26" fillId="0" borderId="1" xfId="0" applyFont="1" applyBorder="1" applyAlignment="1">
      <alignment horizontal="center" vertical="top" wrapText="1"/>
    </xf>
    <xf numFmtId="0" fontId="32" fillId="2" borderId="9" xfId="0" applyFont="1" applyFill="1" applyBorder="1" applyAlignment="1">
      <alignment horizontal="center" vertical="top"/>
    </xf>
    <xf numFmtId="0" fontId="26" fillId="0" borderId="10" xfId="0" applyFont="1" applyBorder="1" applyAlignment="1">
      <alignment vertical="top"/>
    </xf>
    <xf numFmtId="0" fontId="32" fillId="2" borderId="8" xfId="0" applyFont="1" applyFill="1" applyBorder="1" applyAlignment="1">
      <alignment horizontal="center" vertical="top"/>
    </xf>
    <xf numFmtId="0" fontId="35" fillId="0" borderId="8" xfId="0" applyFont="1" applyBorder="1" applyAlignment="1">
      <alignment horizontal="center" vertical="top"/>
    </xf>
    <xf numFmtId="0" fontId="35" fillId="0" borderId="5" xfId="0" applyFont="1" applyBorder="1" applyAlignment="1">
      <alignment horizontal="center" vertical="top"/>
    </xf>
    <xf numFmtId="0" fontId="32" fillId="2" borderId="2" xfId="0" applyFont="1" applyFill="1" applyBorder="1" applyAlignment="1">
      <alignment horizontal="center" vertical="top"/>
    </xf>
    <xf numFmtId="0" fontId="26" fillId="0" borderId="3" xfId="0" applyFont="1" applyBorder="1" applyAlignment="1">
      <alignment horizontal="center" vertical="top"/>
    </xf>
    <xf numFmtId="0" fontId="26" fillId="0" borderId="2" xfId="0" applyFont="1" applyBorder="1" applyAlignment="1">
      <alignment horizontal="center" vertical="top"/>
    </xf>
    <xf numFmtId="0" fontId="43" fillId="0" borderId="2" xfId="0" applyFont="1" applyBorder="1" applyAlignment="1">
      <alignment horizontal="left" vertical="top"/>
    </xf>
    <xf numFmtId="0" fontId="43" fillId="0" borderId="6" xfId="0" applyFont="1" applyBorder="1" applyAlignment="1">
      <alignment horizontal="left" vertical="top"/>
    </xf>
    <xf numFmtId="0" fontId="43" fillId="0" borderId="3" xfId="0" applyFont="1" applyBorder="1" applyAlignment="1">
      <alignment horizontal="left" vertical="top"/>
    </xf>
    <xf numFmtId="0" fontId="43" fillId="0" borderId="7" xfId="0" applyFont="1" applyBorder="1" applyAlignment="1">
      <alignment horizontal="left" vertical="top"/>
    </xf>
    <xf numFmtId="0" fontId="43" fillId="0" borderId="13" xfId="0" applyFont="1" applyBorder="1" applyAlignment="1">
      <alignment horizontal="left" vertical="top"/>
    </xf>
    <xf numFmtId="0" fontId="43" fillId="0" borderId="14" xfId="0" applyFont="1" applyBorder="1" applyAlignment="1">
      <alignment horizontal="left" vertical="top"/>
    </xf>
    <xf numFmtId="0" fontId="43" fillId="0" borderId="0" xfId="0" applyFont="1" applyAlignment="1">
      <alignment horizontal="left" vertical="top"/>
    </xf>
    <xf numFmtId="0" fontId="43" fillId="0" borderId="9" xfId="0" applyFont="1" applyBorder="1" applyAlignment="1">
      <alignment horizontal="left" vertical="top"/>
    </xf>
    <xf numFmtId="0" fontId="43" fillId="0" borderId="10" xfId="0" applyFont="1" applyBorder="1" applyAlignment="1">
      <alignment horizontal="left" vertical="top"/>
    </xf>
    <xf numFmtId="0" fontId="26" fillId="0" borderId="7" xfId="0" applyFont="1" applyBorder="1" applyAlignment="1">
      <alignment horizontal="left" vertical="top"/>
    </xf>
    <xf numFmtId="0" fontId="26" fillId="0" borderId="13" xfId="0" applyFont="1" applyBorder="1" applyAlignment="1">
      <alignment horizontal="left" vertical="top"/>
    </xf>
    <xf numFmtId="0" fontId="26" fillId="0" borderId="14" xfId="0" applyFont="1" applyBorder="1" applyAlignment="1">
      <alignment horizontal="left" vertical="top"/>
    </xf>
    <xf numFmtId="0" fontId="26" fillId="0" borderId="0" xfId="0" applyFont="1" applyAlignment="1">
      <alignment horizontal="left" vertical="top"/>
    </xf>
    <xf numFmtId="0" fontId="26" fillId="0" borderId="9" xfId="0" applyFont="1" applyBorder="1" applyAlignment="1">
      <alignment horizontal="left" vertical="top"/>
    </xf>
    <xf numFmtId="0" fontId="26" fillId="0" borderId="10" xfId="0" applyFont="1" applyBorder="1" applyAlignment="1">
      <alignment horizontal="left" vertical="top"/>
    </xf>
    <xf numFmtId="0" fontId="26" fillId="0" borderId="8" xfId="0" applyFont="1" applyBorder="1" applyAlignment="1">
      <alignment horizontal="center" vertical="top"/>
    </xf>
    <xf numFmtId="0" fontId="26" fillId="0" borderId="5" xfId="0" applyFont="1" applyBorder="1" applyAlignment="1">
      <alignment horizontal="center" vertical="top"/>
    </xf>
    <xf numFmtId="0" fontId="26" fillId="0" borderId="2" xfId="0" applyFont="1" applyBorder="1" applyAlignment="1">
      <alignment horizontal="left" vertical="top" wrapText="1"/>
    </xf>
    <xf numFmtId="0" fontId="32" fillId="0" borderId="1" xfId="0" applyFont="1" applyBorder="1" applyAlignment="1">
      <alignment horizontal="center" vertical="top"/>
    </xf>
    <xf numFmtId="0" fontId="40" fillId="0" borderId="4" xfId="0" applyFont="1" applyBorder="1" applyAlignment="1">
      <alignment horizontal="left" vertical="top" wrapText="1"/>
    </xf>
    <xf numFmtId="0" fontId="40" fillId="0" borderId="5" xfId="0"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40" fillId="0" borderId="4" xfId="0" applyFont="1" applyBorder="1" applyAlignment="1">
      <alignment vertical="top" wrapText="1"/>
    </xf>
    <xf numFmtId="0" fontId="40" fillId="0" borderId="5" xfId="0" applyFont="1" applyBorder="1" applyAlignment="1">
      <alignment vertical="top" wrapText="1"/>
    </xf>
    <xf numFmtId="0" fontId="6" fillId="10" borderId="4" xfId="0" applyFont="1" applyFill="1" applyBorder="1" applyAlignment="1">
      <alignment vertical="top" wrapText="1"/>
    </xf>
    <xf numFmtId="0" fontId="6" fillId="10" borderId="5" xfId="0" applyFont="1" applyFill="1" applyBorder="1" applyAlignment="1">
      <alignment vertical="top" wrapText="1"/>
    </xf>
    <xf numFmtId="0" fontId="6" fillId="10" borderId="4" xfId="0" applyFont="1" applyFill="1" applyBorder="1" applyAlignment="1">
      <alignment horizontal="left" vertical="top" wrapText="1"/>
    </xf>
    <xf numFmtId="0" fontId="6" fillId="10" borderId="5" xfId="0" applyFont="1" applyFill="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6" xfId="0" applyFont="1" applyBorder="1" applyAlignment="1">
      <alignment horizontal="left" vertical="top" wrapText="1"/>
    </xf>
    <xf numFmtId="0" fontId="40" fillId="0" borderId="7" xfId="0" applyFont="1" applyBorder="1" applyAlignment="1">
      <alignment horizontal="left" vertical="top" wrapText="1"/>
    </xf>
    <xf numFmtId="0" fontId="40" fillId="0" borderId="11" xfId="0" applyFont="1" applyBorder="1" applyAlignment="1">
      <alignment horizontal="left" vertical="top" wrapText="1"/>
    </xf>
    <xf numFmtId="0" fontId="40" fillId="0" borderId="14" xfId="0" applyFont="1" applyBorder="1" applyAlignment="1">
      <alignment horizontal="left" vertical="top" wrapText="1"/>
    </xf>
    <xf numFmtId="0" fontId="40" fillId="0" borderId="15" xfId="0" applyFont="1" applyBorder="1" applyAlignment="1">
      <alignment horizontal="left" vertical="top" wrapText="1"/>
    </xf>
    <xf numFmtId="0" fontId="40" fillId="0" borderId="9" xfId="0" applyFont="1" applyBorder="1" applyAlignment="1">
      <alignment horizontal="left" vertical="top" wrapText="1"/>
    </xf>
    <xf numFmtId="0" fontId="40" fillId="0" borderId="12" xfId="0" applyFont="1" applyBorder="1" applyAlignment="1">
      <alignment horizontal="left" vertical="top" wrapText="1"/>
    </xf>
    <xf numFmtId="0" fontId="32" fillId="2" borderId="0" xfId="0" applyFont="1" applyFill="1" applyAlignment="1">
      <alignment horizontal="center" vertical="center"/>
    </xf>
    <xf numFmtId="0" fontId="32" fillId="2" borderId="1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15"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2" xfId="0" applyFont="1" applyFill="1" applyBorder="1" applyAlignment="1">
      <alignment horizontal="center" vertical="center"/>
    </xf>
    <xf numFmtId="0" fontId="62" fillId="0" borderId="3" xfId="0" applyFont="1" applyBorder="1" applyAlignment="1">
      <alignment vertical="center"/>
    </xf>
    <xf numFmtId="0" fontId="38" fillId="0" borderId="0" xfId="0" applyFont="1" applyAlignment="1">
      <alignment horizontal="center"/>
    </xf>
    <xf numFmtId="0" fontId="32" fillId="2" borderId="4" xfId="0" applyFont="1" applyFill="1" applyBorder="1" applyAlignment="1">
      <alignment horizontal="center" vertical="center"/>
    </xf>
    <xf numFmtId="0" fontId="63" fillId="0" borderId="5" xfId="0" applyFont="1" applyBorder="1" applyAlignment="1">
      <alignment horizontal="center" vertical="center"/>
    </xf>
    <xf numFmtId="0" fontId="32" fillId="2" borderId="9" xfId="0" applyFont="1" applyFill="1" applyBorder="1" applyAlignment="1">
      <alignment horizontal="center" vertical="center" wrapText="1"/>
    </xf>
    <xf numFmtId="0" fontId="62" fillId="0" borderId="10" xfId="0" applyFont="1" applyBorder="1"/>
    <xf numFmtId="0" fontId="32" fillId="2" borderId="6" xfId="0" applyFont="1" applyFill="1" applyBorder="1" applyAlignment="1">
      <alignment horizontal="center" vertical="center"/>
    </xf>
    <xf numFmtId="0" fontId="35" fillId="2" borderId="3" xfId="0" applyFont="1" applyFill="1" applyBorder="1" applyAlignment="1">
      <alignment vertical="center"/>
    </xf>
    <xf numFmtId="0" fontId="32" fillId="2" borderId="3" xfId="0" applyFont="1" applyFill="1" applyBorder="1" applyAlignment="1">
      <alignment horizontal="center" vertical="center"/>
    </xf>
    <xf numFmtId="0" fontId="62" fillId="0" borderId="8" xfId="0" applyFont="1" applyBorder="1" applyAlignment="1">
      <alignment horizontal="center" vertical="center"/>
    </xf>
    <xf numFmtId="0" fontId="62" fillId="0" borderId="5" xfId="0" applyFont="1" applyBorder="1" applyAlignment="1">
      <alignment horizontal="center" vertical="center"/>
    </xf>
    <xf numFmtId="0" fontId="32" fillId="2" borderId="2"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1" fillId="0" borderId="0" xfId="0" applyFont="1" applyAlignment="1">
      <alignment horizontal="left"/>
    </xf>
    <xf numFmtId="0" fontId="35" fillId="2" borderId="6" xfId="0" applyFont="1" applyFill="1" applyBorder="1" applyAlignment="1">
      <alignment horizontal="center" vertical="top"/>
    </xf>
    <xf numFmtId="0" fontId="35" fillId="2" borderId="3" xfId="0" applyFont="1" applyFill="1" applyBorder="1" applyAlignment="1">
      <alignment horizontal="center" vertical="top"/>
    </xf>
    <xf numFmtId="0" fontId="32" fillId="2" borderId="6" xfId="0" applyFont="1" applyFill="1" applyBorder="1" applyAlignment="1">
      <alignment horizontal="center" vertical="top"/>
    </xf>
    <xf numFmtId="0" fontId="32" fillId="2" borderId="3" xfId="0" applyFont="1" applyFill="1" applyBorder="1" applyAlignment="1">
      <alignment horizontal="center" vertical="top"/>
    </xf>
    <xf numFmtId="0" fontId="32" fillId="2" borderId="5" xfId="0" applyFont="1" applyFill="1" applyBorder="1" applyAlignment="1">
      <alignment horizontal="center" vertical="center"/>
    </xf>
    <xf numFmtId="0" fontId="32" fillId="2" borderId="5" xfId="0" applyFont="1" applyFill="1" applyBorder="1" applyAlignment="1">
      <alignment horizontal="center" vertical="top"/>
    </xf>
    <xf numFmtId="0" fontId="32" fillId="0" borderId="10" xfId="0" applyFont="1" applyBorder="1" applyAlignment="1">
      <alignment horizontal="center"/>
    </xf>
    <xf numFmtId="0" fontId="62" fillId="0" borderId="10" xfId="0" applyFont="1" applyBorder="1" applyAlignment="1">
      <alignment horizontal="center" vertical="center" wrapText="1"/>
    </xf>
    <xf numFmtId="0" fontId="62" fillId="0" borderId="12" xfId="0" applyFont="1" applyBorder="1" applyAlignment="1">
      <alignment horizontal="center" vertical="center" wrapText="1"/>
    </xf>
    <xf numFmtId="0" fontId="62" fillId="0" borderId="10" xfId="0" applyFont="1" applyBorder="1" applyAlignment="1">
      <alignment vertical="center"/>
    </xf>
    <xf numFmtId="0" fontId="32" fillId="2" borderId="4" xfId="0" applyFont="1" applyFill="1" applyBorder="1" applyAlignment="1">
      <alignment horizontal="center" vertical="center" wrapText="1"/>
    </xf>
    <xf numFmtId="0" fontId="35" fillId="2" borderId="8" xfId="0" applyFont="1" applyFill="1" applyBorder="1" applyAlignment="1">
      <alignment horizontal="center" vertical="center"/>
    </xf>
    <xf numFmtId="0" fontId="62" fillId="0" borderId="10" xfId="0" applyFont="1" applyBorder="1" applyAlignment="1">
      <alignment horizontal="center" vertical="center"/>
    </xf>
    <xf numFmtId="0" fontId="62" fillId="0" borderId="12" xfId="0" applyFont="1" applyBorder="1" applyAlignment="1">
      <alignment horizontal="center" vertical="center"/>
    </xf>
    <xf numFmtId="0" fontId="31" fillId="11" borderId="10" xfId="0" applyFont="1" applyFill="1" applyBorder="1" applyAlignment="1">
      <alignment horizontal="left"/>
    </xf>
    <xf numFmtId="0" fontId="32" fillId="11" borderId="4" xfId="0" applyFont="1" applyFill="1" applyBorder="1" applyAlignment="1">
      <alignment horizontal="center" vertical="top" wrapText="1"/>
    </xf>
    <xf numFmtId="0" fontId="32" fillId="11" borderId="8" xfId="0" applyFont="1" applyFill="1" applyBorder="1" applyAlignment="1">
      <alignment horizontal="center" vertical="top" wrapText="1"/>
    </xf>
    <xf numFmtId="0" fontId="32" fillId="11" borderId="5" xfId="0" applyFont="1" applyFill="1" applyBorder="1" applyAlignment="1">
      <alignment horizontal="center" vertical="top" wrapText="1"/>
    </xf>
    <xf numFmtId="0" fontId="32" fillId="11" borderId="4" xfId="0" applyFont="1" applyFill="1" applyBorder="1" applyAlignment="1">
      <alignment horizontal="center" vertical="top"/>
    </xf>
    <xf numFmtId="0" fontId="32" fillId="11" borderId="5" xfId="0" applyFont="1" applyFill="1" applyBorder="1" applyAlignment="1">
      <alignment horizontal="center" vertical="top"/>
    </xf>
    <xf numFmtId="0" fontId="32" fillId="11" borderId="2" xfId="0" applyFont="1" applyFill="1" applyBorder="1" applyAlignment="1">
      <alignment horizontal="center" vertical="top"/>
    </xf>
    <xf numFmtId="0" fontId="32" fillId="11" borderId="3" xfId="0" applyFont="1" applyFill="1" applyBorder="1" applyAlignment="1">
      <alignment horizontal="center" vertical="top"/>
    </xf>
    <xf numFmtId="0" fontId="32" fillId="11" borderId="4" xfId="0" applyFont="1" applyFill="1" applyBorder="1" applyAlignment="1">
      <alignment horizontal="center"/>
    </xf>
    <xf numFmtId="0" fontId="32" fillId="11" borderId="5" xfId="0" applyFont="1" applyFill="1" applyBorder="1" applyAlignment="1">
      <alignment horizontal="center"/>
    </xf>
    <xf numFmtId="2" fontId="32" fillId="11" borderId="4" xfId="0" applyNumberFormat="1" applyFont="1" applyFill="1" applyBorder="1" applyAlignment="1">
      <alignment horizontal="center" vertical="top" wrapText="1"/>
    </xf>
    <xf numFmtId="0" fontId="32" fillId="11" borderId="5" xfId="0" applyFont="1" applyFill="1" applyBorder="1" applyAlignment="1">
      <alignment vertical="top" wrapText="1"/>
    </xf>
    <xf numFmtId="2" fontId="32" fillId="11" borderId="2" xfId="0" applyNumberFormat="1" applyFont="1" applyFill="1" applyBorder="1" applyAlignment="1">
      <alignment horizontal="center" vertical="top"/>
    </xf>
    <xf numFmtId="0" fontId="32" fillId="13" borderId="2" xfId="0" applyFont="1" applyFill="1" applyBorder="1" applyAlignment="1">
      <alignment horizontal="center" vertical="top"/>
    </xf>
    <xf numFmtId="0" fontId="32" fillId="13" borderId="3" xfId="0" applyFont="1" applyFill="1" applyBorder="1" applyAlignment="1">
      <alignment horizontal="center" vertical="top"/>
    </xf>
    <xf numFmtId="0" fontId="32" fillId="13" borderId="4" xfId="0" applyFont="1" applyFill="1" applyBorder="1" applyAlignment="1">
      <alignment horizontal="center" vertical="top"/>
    </xf>
    <xf numFmtId="0" fontId="32" fillId="13" borderId="5" xfId="0" applyFont="1" applyFill="1" applyBorder="1" applyAlignment="1">
      <alignment horizontal="center" vertical="top"/>
    </xf>
    <xf numFmtId="0" fontId="25" fillId="13" borderId="0" xfId="0" applyFont="1" applyFill="1" applyAlignment="1">
      <alignment horizontal="left"/>
    </xf>
  </cellXfs>
  <cellStyles count="2">
    <cellStyle name="Hyperlink" xfId="1" builtinId="8"/>
    <cellStyle name="Normal" xfId="0" builtinId="0"/>
  </cellStyles>
  <dxfs count="10">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DDEBF7"/>
      <color rgb="FFFFD966"/>
      <color rgb="FF00C698"/>
      <color rgb="FFDCFAE9"/>
      <color rgb="FF0070C0"/>
      <color rgb="FF50C9F5"/>
      <color rgb="FFF5E050"/>
      <color rgb="FFFFF199"/>
      <color rgb="FFE5FDFF"/>
      <color rgb="FFFCF6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'Results (Graphical)'!$AU$8</c:f>
          <c:strCache>
            <c:ptCount val="1"/>
            <c:pt idx="0">
              <c:v>Total Emissions - CH4</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30"/>
      <c:rotY val="189"/>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855889107611547E-2"/>
          <c:y val="0.16134801585555997"/>
          <c:w val="0.55526349245406825"/>
          <c:h val="0.70101946753862476"/>
        </c:manualLayout>
      </c:layout>
      <c:pie3DChart>
        <c:varyColors val="1"/>
        <c:ser>
          <c:idx val="0"/>
          <c:order val="0"/>
          <c:tx>
            <c:strRef>
              <c:f>'Results (Graphical)'!$AU$8</c:f>
              <c:strCache>
                <c:ptCount val="1"/>
                <c:pt idx="0">
                  <c:v>Total Emissions - CH4</c:v>
                </c:pt>
              </c:strCache>
            </c:strRef>
          </c:tx>
          <c:spPr>
            <a:effectLst>
              <a:outerShdw blurRad="266700" sx="102000" sy="102000" algn="ctr" rotWithShape="0">
                <a:prstClr val="black">
                  <a:alpha val="20000"/>
                </a:prstClr>
              </a:outerShdw>
            </a:effectLst>
          </c:spPr>
          <c:explosion val="9"/>
          <c:dPt>
            <c:idx val="0"/>
            <c:bubble3D val="0"/>
            <c:spPr>
              <a:solidFill>
                <a:schemeClr val="accent1"/>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1-110E-453F-AC10-F31081B182C5}"/>
              </c:ext>
            </c:extLst>
          </c:dPt>
          <c:dPt>
            <c:idx val="1"/>
            <c:bubble3D val="0"/>
            <c:spPr>
              <a:solidFill>
                <a:schemeClr val="accent2"/>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3-110E-453F-AC10-F31081B182C5}"/>
              </c:ext>
            </c:extLst>
          </c:dPt>
          <c:dPt>
            <c:idx val="2"/>
            <c:bubble3D val="0"/>
            <c:spPr>
              <a:solidFill>
                <a:schemeClr val="accent3"/>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5-110E-453F-AC10-F31081B182C5}"/>
              </c:ext>
            </c:extLst>
          </c:dPt>
          <c:dPt>
            <c:idx val="3"/>
            <c:bubble3D val="0"/>
            <c:spPr>
              <a:solidFill>
                <a:schemeClr val="accent4"/>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7-110E-453F-AC10-F31081B182C5}"/>
              </c:ext>
            </c:extLst>
          </c:dPt>
          <c:dPt>
            <c:idx val="4"/>
            <c:bubble3D val="0"/>
            <c:spPr>
              <a:solidFill>
                <a:schemeClr val="accent5"/>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9-110E-453F-AC10-F31081B182C5}"/>
              </c:ext>
            </c:extLst>
          </c:dPt>
          <c:dPt>
            <c:idx val="5"/>
            <c:bubble3D val="0"/>
            <c:spPr>
              <a:solidFill>
                <a:schemeClr val="accent6"/>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B-110E-453F-AC10-F31081B182C5}"/>
              </c:ext>
            </c:extLst>
          </c:dPt>
          <c:dPt>
            <c:idx val="6"/>
            <c:bubble3D val="0"/>
            <c:spPr>
              <a:solidFill>
                <a:schemeClr val="accent1">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D-110E-453F-AC10-F31081B182C5}"/>
              </c:ext>
            </c:extLst>
          </c:dPt>
          <c:dPt>
            <c:idx val="7"/>
            <c:bubble3D val="0"/>
            <c:spPr>
              <a:solidFill>
                <a:schemeClr val="accent2">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0F-110E-453F-AC10-F31081B182C5}"/>
              </c:ext>
            </c:extLst>
          </c:dPt>
          <c:dPt>
            <c:idx val="8"/>
            <c:bubble3D val="0"/>
            <c:spPr>
              <a:solidFill>
                <a:schemeClr val="accent3">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1-110E-453F-AC10-F31081B182C5}"/>
              </c:ext>
            </c:extLst>
          </c:dPt>
          <c:dPt>
            <c:idx val="9"/>
            <c:bubble3D val="0"/>
            <c:spPr>
              <a:solidFill>
                <a:schemeClr val="accent4">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3-94B6-4F63-8DFD-AA2EAB4DE801}"/>
              </c:ext>
            </c:extLst>
          </c:dPt>
          <c:dPt>
            <c:idx val="10"/>
            <c:bubble3D val="0"/>
            <c:spPr>
              <a:solidFill>
                <a:schemeClr val="accent5">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5-94B6-4F63-8DFD-AA2EAB4DE801}"/>
              </c:ext>
            </c:extLst>
          </c:dPt>
          <c:dPt>
            <c:idx val="11"/>
            <c:bubble3D val="0"/>
            <c:spPr>
              <a:solidFill>
                <a:schemeClr val="accent6">
                  <a:lumMod val="6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7-94B6-4F63-8DFD-AA2EAB4DE801}"/>
              </c:ext>
            </c:extLst>
          </c:dPt>
          <c:dPt>
            <c:idx val="12"/>
            <c:bubble3D val="0"/>
            <c:spPr>
              <a:solidFill>
                <a:schemeClr val="accent1">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9-94B6-4F63-8DFD-AA2EAB4DE801}"/>
              </c:ext>
            </c:extLst>
          </c:dPt>
          <c:dPt>
            <c:idx val="13"/>
            <c:bubble3D val="0"/>
            <c:spPr>
              <a:solidFill>
                <a:schemeClr val="accent2">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B-94B6-4F63-8DFD-AA2EAB4DE801}"/>
              </c:ext>
            </c:extLst>
          </c:dPt>
          <c:dPt>
            <c:idx val="14"/>
            <c:bubble3D val="0"/>
            <c:spPr>
              <a:solidFill>
                <a:schemeClr val="accent3">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D-94B6-4F63-8DFD-AA2EAB4DE801}"/>
              </c:ext>
            </c:extLst>
          </c:dPt>
          <c:dPt>
            <c:idx val="15"/>
            <c:bubble3D val="0"/>
            <c:spPr>
              <a:solidFill>
                <a:schemeClr val="accent4">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1F-94B6-4F63-8DFD-AA2EAB4DE801}"/>
              </c:ext>
            </c:extLst>
          </c:dPt>
          <c:dPt>
            <c:idx val="16"/>
            <c:bubble3D val="0"/>
            <c:spPr>
              <a:solidFill>
                <a:schemeClr val="accent5">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21-94B6-4F63-8DFD-AA2EAB4DE801}"/>
              </c:ext>
            </c:extLst>
          </c:dPt>
          <c:dPt>
            <c:idx val="17"/>
            <c:bubble3D val="0"/>
            <c:spPr>
              <a:solidFill>
                <a:schemeClr val="accent6">
                  <a:lumMod val="80000"/>
                  <a:lumOff val="20000"/>
                </a:schemeClr>
              </a:solidFill>
              <a:ln>
                <a:noFill/>
              </a:ln>
              <a:effectLst>
                <a:outerShdw blurRad="266700" sx="102000" sy="102000" algn="ctr" rotWithShape="0">
                  <a:prstClr val="black">
                    <a:alpha val="20000"/>
                  </a:prstClr>
                </a:outerShdw>
              </a:effectLst>
              <a:sp3d/>
            </c:spPr>
            <c:extLst>
              <c:ext xmlns:c16="http://schemas.microsoft.com/office/drawing/2014/chart" uri="{C3380CC4-5D6E-409C-BE32-E72D297353CC}">
                <c16:uniqueId val="{00000023-21C6-4136-BE11-EA192F45C49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60000" spcFirstLastPara="1" vertOverflow="ellipsis"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'Results (Graphical)'!$AL$9:$AL$25</c:f>
              <c:strCache>
                <c:ptCount val="17"/>
                <c:pt idx="0">
                  <c:v>Petroleum Refining</c:v>
                </c:pt>
                <c:pt idx="1">
                  <c:v>Manufacture of solid fuels and other energy industries</c:v>
                </c:pt>
                <c:pt idx="2">
                  <c:v>Exploration</c:v>
                </c:pt>
                <c:pt idx="3">
                  <c:v>Production and Upgrading</c:v>
                </c:pt>
                <c:pt idx="4">
                  <c:v>Transport</c:v>
                </c:pt>
                <c:pt idx="5">
                  <c:v>Refining</c:v>
                </c:pt>
                <c:pt idx="6">
                  <c:v>Distribution of Oil Products</c:v>
                </c:pt>
                <c:pt idx="7">
                  <c:v>Other</c:v>
                </c:pt>
                <c:pt idx="8">
                  <c:v>Abandoned Oil Wells</c:v>
                </c:pt>
                <c:pt idx="9">
                  <c:v>Exploration</c:v>
                </c:pt>
                <c:pt idx="10">
                  <c:v>Production and Gathering</c:v>
                </c:pt>
                <c:pt idx="11">
                  <c:v>Processing</c:v>
                </c:pt>
                <c:pt idx="12">
                  <c:v>Transmission and Storage</c:v>
                </c:pt>
                <c:pt idx="13">
                  <c:v>Distribution</c:v>
                </c:pt>
                <c:pt idx="14">
                  <c:v>Post-Meter</c:v>
                </c:pt>
                <c:pt idx="15">
                  <c:v>Other</c:v>
                </c:pt>
                <c:pt idx="16">
                  <c:v>Abandoned Gas Wells</c:v>
                </c:pt>
              </c:strCache>
            </c:strRef>
          </c:cat>
          <c:val>
            <c:numRef>
              <c:f>'Results (Graphical)'!$AU$9:$AU$25</c:f>
              <c:numCache>
                <c:formatCode>General</c:formatCode>
                <c:ptCount val="17"/>
                <c:pt idx="0">
                  <c:v>2.0340720000000001</c:v>
                </c:pt>
                <c:pt idx="1">
                  <c:v>1.2003115742762389E-3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12-110E-453F-AC10-F31081B182C5}"/>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2738301559792031"/>
          <c:y val="0.14187050588947542"/>
          <c:w val="0.35875216637781632"/>
          <c:h val="0.8497423941736801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checked="Checked" firstButton="1" fmlaLink="$AU$7" lockText="1" noThreeD="1"/>
</file>

<file path=xl/ctrlProps/ctrlProp10.xml><?xml version="1.0" encoding="utf-8"?>
<formControlPr xmlns="http://schemas.microsoft.com/office/spreadsheetml/2009/9/main" objectType="Drop" dropLines="9" dropStyle="combo" dx="22" fmlaLink="$O$14" fmlaRange="SolidFuels" noThreeD="1" sel="2" val="0"/>
</file>

<file path=xl/ctrlProps/ctrlProp11.xml><?xml version="1.0" encoding="utf-8"?>
<formControlPr xmlns="http://schemas.microsoft.com/office/spreadsheetml/2009/9/main" objectType="Drop" dropLines="9" dropStyle="combo" dx="22" fmlaLink="$O$15" fmlaRange="SolidFuels" noThreeD="1" sel="2" val="0"/>
</file>

<file path=xl/ctrlProps/ctrlProp12.xml><?xml version="1.0" encoding="utf-8"?>
<formControlPr xmlns="http://schemas.microsoft.com/office/spreadsheetml/2009/9/main" objectType="Drop" dropLines="9" dropStyle="combo" dx="22" fmlaLink="$O$16" fmlaRange="SolidFuels" noThreeD="1" sel="2" val="0"/>
</file>

<file path=xl/ctrlProps/ctrlProp13.xml><?xml version="1.0" encoding="utf-8"?>
<formControlPr xmlns="http://schemas.microsoft.com/office/spreadsheetml/2009/9/main" objectType="Drop" dropLines="9" dropStyle="combo" dx="22" fmlaLink="$O$17" fmlaRange="SolidFuels" noThreeD="1" sel="2" val="0"/>
</file>

<file path=xl/ctrlProps/ctrlProp14.xml><?xml version="1.0" encoding="utf-8"?>
<formControlPr xmlns="http://schemas.microsoft.com/office/spreadsheetml/2009/9/main" objectType="Drop" dropLines="10" dropStyle="combo" dx="22" fmlaLink="$S$12" fmlaRange="LiquidFuels" noThreeD="1" sel="5" val="0"/>
</file>

<file path=xl/ctrlProps/ctrlProp15.xml><?xml version="1.0" encoding="utf-8"?>
<formControlPr xmlns="http://schemas.microsoft.com/office/spreadsheetml/2009/9/main" objectType="Drop" dropLines="10" dropStyle="combo" dx="22" fmlaLink="$S$13" fmlaRange="LiquidFuels" noThreeD="1" sel="5" val="0"/>
</file>

<file path=xl/ctrlProps/ctrlProp16.xml><?xml version="1.0" encoding="utf-8"?>
<formControlPr xmlns="http://schemas.microsoft.com/office/spreadsheetml/2009/9/main" objectType="Drop" dropLines="10" dropStyle="combo" dx="22" fmlaLink="$S$14" fmlaRange="LiquidFuels" noThreeD="1" sel="5" val="0"/>
</file>

<file path=xl/ctrlProps/ctrlProp17.xml><?xml version="1.0" encoding="utf-8"?>
<formControlPr xmlns="http://schemas.microsoft.com/office/spreadsheetml/2009/9/main" objectType="Drop" dropLines="10" dropStyle="combo" dx="22" fmlaLink="$S$15" fmlaRange="LiquidFuels" noThreeD="1" sel="5" val="0"/>
</file>

<file path=xl/ctrlProps/ctrlProp18.xml><?xml version="1.0" encoding="utf-8"?>
<formControlPr xmlns="http://schemas.microsoft.com/office/spreadsheetml/2009/9/main" objectType="Drop" dropLines="10" dropStyle="combo" dx="22" fmlaLink="$S$16" fmlaRange="LiquidFuels" noThreeD="1" sel="5" val="0"/>
</file>

<file path=xl/ctrlProps/ctrlProp19.xml><?xml version="1.0" encoding="utf-8"?>
<formControlPr xmlns="http://schemas.microsoft.com/office/spreadsheetml/2009/9/main" objectType="Drop" dropLines="10" dropStyle="combo" dx="22" fmlaLink="$S$17" fmlaRange="LiquidFuels" noThreeD="1" sel="5" val="0"/>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Drop" dropStyle="combo" dx="22" fmlaLink="$P$12" fmlaRange="'Lookup Tables'!$B$36:$B$47" noThreeD="1" sel="1" val="0"/>
</file>

<file path=xl/ctrlProps/ctrlProp21.xml><?xml version="1.0" encoding="utf-8"?>
<formControlPr xmlns="http://schemas.microsoft.com/office/spreadsheetml/2009/9/main" objectType="Drop" dropStyle="combo" dx="22" fmlaLink="$P$13" fmlaRange="'Lookup Tables'!$B$36:$B$47" noThreeD="1" sel="2" val="0"/>
</file>

<file path=xl/ctrlProps/ctrlProp22.xml><?xml version="1.0" encoding="utf-8"?>
<formControlPr xmlns="http://schemas.microsoft.com/office/spreadsheetml/2009/9/main" objectType="Drop" dropStyle="combo" dx="22" fmlaLink="$P$14" fmlaRange="'Lookup Tables'!$B$36:$B$47" noThreeD="1" sel="1" val="0"/>
</file>

<file path=xl/ctrlProps/ctrlProp23.xml><?xml version="1.0" encoding="utf-8"?>
<formControlPr xmlns="http://schemas.microsoft.com/office/spreadsheetml/2009/9/main" objectType="Drop" dropStyle="combo" dx="22" fmlaLink="$P$15" fmlaRange="'Lookup Tables'!$B$36:$B$47" noThreeD="1" sel="1" val="0"/>
</file>

<file path=xl/ctrlProps/ctrlProp24.xml><?xml version="1.0" encoding="utf-8"?>
<formControlPr xmlns="http://schemas.microsoft.com/office/spreadsheetml/2009/9/main" objectType="Drop" dropStyle="combo" dx="22" fmlaLink="$P$16" fmlaRange="'Lookup Tables'!$B$36:$B$47" noThreeD="1" sel="1" val="0"/>
</file>

<file path=xl/ctrlProps/ctrlProp25.xml><?xml version="1.0" encoding="utf-8"?>
<formControlPr xmlns="http://schemas.microsoft.com/office/spreadsheetml/2009/9/main" objectType="Drop" dropStyle="combo" dx="22" fmlaLink="$P$17" fmlaRange="'Lookup Tables'!$B$36:$B$47" noThreeD="1" sel="1" val="0"/>
</file>

<file path=xl/ctrlProps/ctrlProp26.xml><?xml version="1.0" encoding="utf-8"?>
<formControlPr xmlns="http://schemas.microsoft.com/office/spreadsheetml/2009/9/main" objectType="Drop" dropStyle="combo" dx="22" fmlaLink="$T$12" fmlaRange="'Lookup Tables'!$B$36:$B$55" noThreeD="1" sel="13" val="12"/>
</file>

<file path=xl/ctrlProps/ctrlProp27.xml><?xml version="1.0" encoding="utf-8"?>
<formControlPr xmlns="http://schemas.microsoft.com/office/spreadsheetml/2009/9/main" objectType="Drop" dropStyle="combo" dx="22" fmlaLink="$T$13" fmlaRange="'Lookup Tables'!$B$36:$B$55" noThreeD="1" sel="1" val="0"/>
</file>

<file path=xl/ctrlProps/ctrlProp28.xml><?xml version="1.0" encoding="utf-8"?>
<formControlPr xmlns="http://schemas.microsoft.com/office/spreadsheetml/2009/9/main" objectType="Drop" dropStyle="combo" dx="22" fmlaLink="$T$14" fmlaRange="'Lookup Tables'!$B$36:$B$55" noThreeD="1" sel="1" val="0"/>
</file>

<file path=xl/ctrlProps/ctrlProp29.xml><?xml version="1.0" encoding="utf-8"?>
<formControlPr xmlns="http://schemas.microsoft.com/office/spreadsheetml/2009/9/main" objectType="Drop" dropStyle="combo" dx="22" fmlaLink="$T$15" fmlaRange="'Lookup Tables'!$B$36:$B$55" noThreeD="1" sel="1" val="0"/>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Drop" dropStyle="combo" dx="22" fmlaLink="$T$16" fmlaRange="'Lookup Tables'!$B$36:$B$55" noThreeD="1" sel="1" val="0"/>
</file>

<file path=xl/ctrlProps/ctrlProp31.xml><?xml version="1.0" encoding="utf-8"?>
<formControlPr xmlns="http://schemas.microsoft.com/office/spreadsheetml/2009/9/main" objectType="Drop" dropStyle="combo" dx="22" fmlaLink="$T$17" fmlaRange="'Lookup Tables'!$B$36:$B$55" noThreeD="1" sel="1" val="0"/>
</file>

<file path=xl/ctrlProps/ctrlProp32.xml><?xml version="1.0" encoding="utf-8"?>
<formControlPr xmlns="http://schemas.microsoft.com/office/spreadsheetml/2009/9/main" objectType="Drop" dropStyle="combo" dx="22" fmlaLink="$W$12" fmlaRange="'Lookup Tables'!$B$69:$B$74" noThreeD="1" sel="4" val="0"/>
</file>

<file path=xl/ctrlProps/ctrlProp33.xml><?xml version="1.0" encoding="utf-8"?>
<formControlPr xmlns="http://schemas.microsoft.com/office/spreadsheetml/2009/9/main" objectType="Drop" dropStyle="combo" dx="22" fmlaLink="$W$15" fmlaRange="'Lookup Tables'!$B$69:$B$74" noThreeD="1" sel="3" val="0"/>
</file>

<file path=xl/ctrlProps/ctrlProp34.xml><?xml version="1.0" encoding="utf-8"?>
<formControlPr xmlns="http://schemas.microsoft.com/office/spreadsheetml/2009/9/main" objectType="Drop" dropLines="9" dropStyle="combo" dx="22" fmlaLink="$O$12" fmlaRange="SolidFuels" noThreeD="1" sel="2" val="0"/>
</file>

<file path=xl/ctrlProps/ctrlProp35.xml><?xml version="1.0" encoding="utf-8"?>
<formControlPr xmlns="http://schemas.microsoft.com/office/spreadsheetml/2009/9/main" objectType="Drop" dropStyle="combo" dx="22" fmlaLink="$P$58" fmlaRange="'Lookup Tables'!$B$75:$B$78" noThreeD="1" sel="3" val="0"/>
</file>

<file path=xl/ctrlProps/ctrlProp36.xml><?xml version="1.0" encoding="utf-8"?>
<formControlPr xmlns="http://schemas.microsoft.com/office/spreadsheetml/2009/9/main" objectType="Drop" dropStyle="combo" dx="22" fmlaLink="$P$37" fmlaRange="'Lookup Tables'!$B$75:$B$78" noThreeD="1" sel="3" val="0"/>
</file>

<file path=xl/ctrlProps/ctrlProp37.xml><?xml version="1.0" encoding="utf-8"?>
<formControlPr xmlns="http://schemas.microsoft.com/office/spreadsheetml/2009/9/main" objectType="Drop" dropStyle="combo" dx="22" fmlaLink="$P$79" fmlaRange="'Lookup Tables'!$B$75:$B$78" noThreeD="1" sel="3" val="0"/>
</file>

<file path=xl/ctrlProps/ctrlProp38.xml><?xml version="1.0" encoding="utf-8"?>
<formControlPr xmlns="http://schemas.microsoft.com/office/spreadsheetml/2009/9/main" objectType="Drop" dropStyle="combo" dx="22" fmlaLink="$P$86" fmlaRange="'Lookup Tables'!$B$75:$B$78" noThreeD="1" sel="3" val="0"/>
</file>

<file path=xl/ctrlProps/ctrlProp39.xml><?xml version="1.0" encoding="utf-8"?>
<formControlPr xmlns="http://schemas.microsoft.com/office/spreadsheetml/2009/9/main" objectType="Drop" dropStyle="combo" dx="22" fmlaLink="$P$128" fmlaRange="'Lookup Tables'!$B$75:$B$78" noThreeD="1" sel="3" val="0"/>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Drop" dropStyle="combo" dx="22" fmlaLink="$P$135" fmlaRange="'Lookup Tables'!$B$75:$B$78" noThreeD="1" sel="3" val="0"/>
</file>

<file path=xl/ctrlProps/ctrlProp41.xml><?xml version="1.0" encoding="utf-8"?>
<formControlPr xmlns="http://schemas.microsoft.com/office/spreadsheetml/2009/9/main" objectType="Drop" dropStyle="combo" dx="22" fmlaLink="$P$142" fmlaRange="'Lookup Tables'!$B$75:$B$78" noThreeD="1" sel="3" val="0"/>
</file>

<file path=xl/ctrlProps/ctrlProp42.xml><?xml version="1.0" encoding="utf-8"?>
<formControlPr xmlns="http://schemas.microsoft.com/office/spreadsheetml/2009/9/main" objectType="Drop" dropStyle="combo" dx="22" fmlaLink="$P$149" fmlaRange="'Lookup Tables'!$B$75:$B$78" noThreeD="1" sel="3" val="0"/>
</file>

<file path=xl/ctrlProps/ctrlProp43.xml><?xml version="1.0" encoding="utf-8"?>
<formControlPr xmlns="http://schemas.microsoft.com/office/spreadsheetml/2009/9/main" objectType="Drop" dropStyle="combo" dx="22" fmlaLink="$P$156" fmlaRange="'Lookup Tables'!$B$75:$B$78" noThreeD="1" sel="3" val="0"/>
</file>

<file path=xl/ctrlProps/ctrlProp44.xml><?xml version="1.0" encoding="utf-8"?>
<formControlPr xmlns="http://schemas.microsoft.com/office/spreadsheetml/2009/9/main" objectType="Drop" dropStyle="combo" dx="22" fmlaLink="$P$163" fmlaRange="'Lookup Tables'!$B$75:$B$78" noThreeD="1" sel="3" val="0"/>
</file>

<file path=xl/ctrlProps/ctrlProp45.xml><?xml version="1.0" encoding="utf-8"?>
<formControlPr xmlns="http://schemas.microsoft.com/office/spreadsheetml/2009/9/main" objectType="Drop" dropStyle="combo" dx="22" fmlaLink="$P$170" fmlaRange="'Lookup Tables'!$B$75:$B$78" noThreeD="1" sel="3" val="0"/>
</file>

<file path=xl/ctrlProps/ctrlProp46.xml><?xml version="1.0" encoding="utf-8"?>
<formControlPr xmlns="http://schemas.microsoft.com/office/spreadsheetml/2009/9/main" objectType="Drop" dropStyle="combo" dx="22" fmlaLink="$P$191" fmlaRange="'Lookup Tables'!$B$75:$B$78" noThreeD="1" sel="3" val="0"/>
</file>

<file path=xl/ctrlProps/ctrlProp47.xml><?xml version="1.0" encoding="utf-8"?>
<formControlPr xmlns="http://schemas.microsoft.com/office/spreadsheetml/2009/9/main" objectType="Drop" dropStyle="combo" dx="22" fmlaLink="$P$198" fmlaRange="'Lookup Tables'!$B$75:$B$78" noThreeD="1" sel="3" val="0"/>
</file>

<file path=xl/ctrlProps/ctrlProp48.xml><?xml version="1.0" encoding="utf-8"?>
<formControlPr xmlns="http://schemas.microsoft.com/office/spreadsheetml/2009/9/main" objectType="Drop" dropStyle="combo" dx="22" fmlaLink="$P$205" fmlaRange="'Lookup Tables'!$B$75:$B$78" noThreeD="1" sel="3" val="0"/>
</file>

<file path=xl/ctrlProps/ctrlProp49.xml><?xml version="1.0" encoding="utf-8"?>
<formControlPr xmlns="http://schemas.microsoft.com/office/spreadsheetml/2009/9/main" objectType="Drop" dropStyle="combo" dx="22" fmlaLink="$P$275" fmlaRange="'Lookup Tables'!$B$79:$B$81" noThreeD="1" sel="3" val="0"/>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Drop" dropStyle="combo" dx="22" fmlaLink="$P$296" fmlaRange="'Lookup Tables'!$B$79:$B$81" noThreeD="1" sel="3" val="0"/>
</file>

<file path=xl/ctrlProps/ctrlProp51.xml><?xml version="1.0" encoding="utf-8"?>
<formControlPr xmlns="http://schemas.microsoft.com/office/spreadsheetml/2009/9/main" objectType="Drop" dropStyle="combo" dx="22" fmlaLink="$P$317" fmlaRange="'Lookup Tables'!$B$79:$B$81" noThreeD="1" sel="3" val="0"/>
</file>

<file path=xl/ctrlProps/ctrlProp52.xml><?xml version="1.0" encoding="utf-8"?>
<formControlPr xmlns="http://schemas.microsoft.com/office/spreadsheetml/2009/9/main" objectType="Drop" dropStyle="combo" dx="22" fmlaLink="$P$324" fmlaRange="'Lookup Tables'!$B$79:$B$81" noThreeD="1" sel="3" val="0"/>
</file>

<file path=xl/ctrlProps/ctrlProp53.xml><?xml version="1.0" encoding="utf-8"?>
<formControlPr xmlns="http://schemas.microsoft.com/office/spreadsheetml/2009/9/main" objectType="Drop" dropStyle="combo" dx="22" fmlaLink="$P$366" fmlaRange="'Lookup Tables'!$B$79:$B$81" noThreeD="1" sel="3" val="0"/>
</file>

<file path=xl/ctrlProps/ctrlProp54.xml><?xml version="1.0" encoding="utf-8"?>
<formControlPr xmlns="http://schemas.microsoft.com/office/spreadsheetml/2009/9/main" objectType="Drop" dropStyle="combo" dx="22" fmlaLink="$P$373" fmlaRange="'Lookup Tables'!$B$79:$B$81" noThreeD="1" sel="3" val="0"/>
</file>

<file path=xl/ctrlProps/ctrlProp55.xml><?xml version="1.0" encoding="utf-8"?>
<formControlPr xmlns="http://schemas.microsoft.com/office/spreadsheetml/2009/9/main" objectType="Drop" dropStyle="combo" dx="22" fmlaLink="$P$380" fmlaRange="'Lookup Tables'!$B$79:$B$81" noThreeD="1" sel="3" val="0"/>
</file>

<file path=xl/ctrlProps/ctrlProp56.xml><?xml version="1.0" encoding="utf-8"?>
<formControlPr xmlns="http://schemas.microsoft.com/office/spreadsheetml/2009/9/main" objectType="Drop" dropStyle="combo" dx="22" fmlaLink="$P$394" fmlaRange="'Lookup Tables'!$B$79:$B$81" noThreeD="1" sel="3" val="0"/>
</file>

<file path=xl/ctrlProps/ctrlProp57.xml><?xml version="1.0" encoding="utf-8"?>
<formControlPr xmlns="http://schemas.microsoft.com/office/spreadsheetml/2009/9/main" objectType="Drop" dropStyle="combo" dx="22" fmlaLink="$P$429" fmlaRange="'Lookup Tables'!$B$79:$B$81" noThreeD="1" sel="3" val="0"/>
</file>

<file path=xl/ctrlProps/ctrlProp58.xml><?xml version="1.0" encoding="utf-8"?>
<formControlPr xmlns="http://schemas.microsoft.com/office/spreadsheetml/2009/9/main" objectType="Drop" dropStyle="combo" dx="22" fmlaLink="$P$436" fmlaRange="'Lookup Tables'!$B$79:$B$81" noThreeD="1" sel="3" val="0"/>
</file>

<file path=xl/ctrlProps/ctrlProp59.xml><?xml version="1.0" encoding="utf-8"?>
<formControlPr xmlns="http://schemas.microsoft.com/office/spreadsheetml/2009/9/main" objectType="Drop" dropStyle="combo" dx="22" fmlaLink="$P$478" fmlaRange="'Lookup Tables'!$B$79:$B$81" noThreeD="1" sel="3" val="0"/>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Drop" dropStyle="combo" dx="22" fmlaLink="$P$485" fmlaRange="'Lookup Tables'!$B$79:$B$81" noThreeD="1" sel="3" val="0"/>
</file>

<file path=xl/ctrlProps/ctrlProp61.xml><?xml version="1.0" encoding="utf-8"?>
<formControlPr xmlns="http://schemas.microsoft.com/office/spreadsheetml/2009/9/main" objectType="Drop" dropStyle="combo" dx="22" fmlaLink="$P$506" fmlaRange="'Lookup Tables'!$B$79:$B$81" noThreeD="1" sel="3" val="0"/>
</file>

<file path=xl/ctrlProps/ctrlProp62.xml><?xml version="1.0" encoding="utf-8"?>
<formControlPr xmlns="http://schemas.microsoft.com/office/spreadsheetml/2009/9/main" objectType="Drop" dropStyle="combo" dx="22" fmlaLink="$P$548" fmlaRange="'Lookup Tables'!$B$79:$B$81" noThreeD="1" sel="3" val="0"/>
</file>

<file path=xl/ctrlProps/ctrlProp63.xml><?xml version="1.0" encoding="utf-8"?>
<formControlPr xmlns="http://schemas.microsoft.com/office/spreadsheetml/2009/9/main" objectType="Drop" dropStyle="combo" dx="22" fmlaLink="$P$555" fmlaRange="'Lookup Tables'!$B$79:$B$81" noThreeD="1" sel="3" val="0"/>
</file>

<file path=xl/ctrlProps/ctrlProp64.xml><?xml version="1.0" encoding="utf-8"?>
<formControlPr xmlns="http://schemas.microsoft.com/office/spreadsheetml/2009/9/main" objectType="Drop" dropStyle="combo" dx="22" fmlaLink="$P$583" fmlaRange="'Lookup Tables'!$B$79:$B$81" noThreeD="1" sel="3" val="0"/>
</file>

<file path=xl/ctrlProps/ctrlProp65.xml><?xml version="1.0" encoding="utf-8"?>
<formControlPr xmlns="http://schemas.microsoft.com/office/spreadsheetml/2009/9/main" objectType="Drop" dropStyle="combo" dx="22" fmlaLink="$P$387" fmlaRange="'Lookup Tables'!$B$79:$B$81" noThreeD="1" sel="3" val="0"/>
</file>

<file path=xl/ctrlProps/ctrlProp66.xml><?xml version="1.0" encoding="utf-8"?>
<formControlPr xmlns="http://schemas.microsoft.com/office/spreadsheetml/2009/9/main" objectType="Drop" dropStyle="combo" dx="22" fmlaLink="$P$114" fmlaRange="'Lookup Tables'!$B$75:$B$78" noThreeD="1" sel="3" val="0"/>
</file>

<file path=xl/ctrlProps/ctrlProp67.xml><?xml version="1.0" encoding="utf-8"?>
<formControlPr xmlns="http://schemas.microsoft.com/office/spreadsheetml/2009/9/main" objectType="Drop" dropStyle="combo" dx="22" fmlaLink="$P$100" fmlaRange="'Lookup Tables'!$B$75:$B$78" noThreeD="1" sel="3" val="0"/>
</file>

<file path=xl/ctrlProps/ctrlProp68.xml><?xml version="1.0" encoding="utf-8"?>
<formControlPr xmlns="http://schemas.microsoft.com/office/spreadsheetml/2009/9/main" objectType="Drop" dropStyle="combo" dx="22" fmlaLink="$P$177" fmlaRange="'Lookup Tables'!$B$75:$B$78" noThreeD="1" sel="3" val="0"/>
</file>

<file path=xl/ctrlProps/ctrlProp69.xml><?xml version="1.0" encoding="utf-8"?>
<formControlPr xmlns="http://schemas.microsoft.com/office/spreadsheetml/2009/9/main" objectType="Drop" dropStyle="combo" dx="22" fmlaLink="$P$184" fmlaRange="'Lookup Tables'!$B$75:$B$78" noThreeD="1" sel="3" val="0"/>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Drop" dropStyle="combo" dx="22" fmlaLink="$P$338" fmlaRange="'Lookup Tables'!$B$79:$B$81" noThreeD="1" sel="3" val="0"/>
</file>

<file path=xl/ctrlProps/ctrlProp71.xml><?xml version="1.0" encoding="utf-8"?>
<formControlPr xmlns="http://schemas.microsoft.com/office/spreadsheetml/2009/9/main" objectType="Drop" dropStyle="combo" dx="22" fmlaLink="$P$352" fmlaRange="'Lookup Tables'!$B$79:$B$81" noThreeD="1" sel="3" val="0"/>
</file>

<file path=xl/ctrlProps/ctrlProp72.xml><?xml version="1.0" encoding="utf-8"?>
<formControlPr xmlns="http://schemas.microsoft.com/office/spreadsheetml/2009/9/main" objectType="Drop" dropStyle="combo" dx="22" fmlaLink="$P$401" fmlaRange="'Lookup Tables'!$B$79:$B$81" noThreeD="1" sel="3" val="0"/>
</file>

<file path=xl/ctrlProps/ctrlProp73.xml><?xml version="1.0" encoding="utf-8"?>
<formControlPr xmlns="http://schemas.microsoft.com/office/spreadsheetml/2009/9/main" objectType="Drop" dropStyle="combo" dx="22" fmlaLink="$P$408" fmlaRange="'Lookup Tables'!$B$79:$B$81" noThreeD="1" sel="3" val="0"/>
</file>

<file path=xl/ctrlProps/ctrlProp74.xml><?xml version="1.0" encoding="utf-8"?>
<formControlPr xmlns="http://schemas.microsoft.com/office/spreadsheetml/2009/9/main" objectType="Drop" dropStyle="combo" dx="22" fmlaLink="$P$415" fmlaRange="'Lookup Tables'!$B$79:$B$81" noThreeD="1" sel="3" val="0"/>
</file>

<file path=xl/ctrlProps/ctrlProp75.xml><?xml version="1.0" encoding="utf-8"?>
<formControlPr xmlns="http://schemas.microsoft.com/office/spreadsheetml/2009/9/main" objectType="Drop" dropStyle="combo" dx="22" fmlaLink="$P$422" fmlaRange="'Lookup Tables'!$B$79:$B$81" noThreeD="1" sel="3" val="0"/>
</file>

<file path=xl/ctrlProps/ctrlProp76.xml><?xml version="1.0" encoding="utf-8"?>
<formControlPr xmlns="http://schemas.microsoft.com/office/spreadsheetml/2009/9/main" objectType="Drop" dropStyle="combo" dx="22" fmlaLink="$P$450" fmlaRange="'Lookup Tables'!$B$79:$B$81" noThreeD="1" sel="3" val="0"/>
</file>

<file path=xl/ctrlProps/ctrlProp77.xml><?xml version="1.0" encoding="utf-8"?>
<formControlPr xmlns="http://schemas.microsoft.com/office/spreadsheetml/2009/9/main" objectType="Drop" dropStyle="combo" dx="22" fmlaLink="$P$464" fmlaRange="'Lookup Tables'!$B$79:$B$81" noThreeD="1" sel="3" val="0"/>
</file>

<file path=xl/ctrlProps/ctrlProp78.xml><?xml version="1.0" encoding="utf-8"?>
<formControlPr xmlns="http://schemas.microsoft.com/office/spreadsheetml/2009/9/main" objectType="Drop" dropStyle="combo" dx="22" fmlaLink="$P$520" fmlaRange="'Lookup Tables'!$B$79:$B$81" noThreeD="1" sel="3" val="0"/>
</file>

<file path=xl/ctrlProps/ctrlProp79.xml><?xml version="1.0" encoding="utf-8"?>
<formControlPr xmlns="http://schemas.microsoft.com/office/spreadsheetml/2009/9/main" objectType="Drop" dropStyle="combo" dx="22" fmlaLink="$P$534" fmlaRange="'Lookup Tables'!$B$79:$B$81" noThreeD="1" sel="3" val="0"/>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Drop" dropLines="9" dropStyle="combo" dx="22" fmlaLink="$O$13" fmlaRange="SolidFuels"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hyperlink" Target="#'Results (Graphical) &#8211; Facility'!A1"/><Relationship Id="rId2" Type="http://schemas.openxmlformats.org/officeDocument/2006/relationships/hyperlink" Target="#'Setup - IPCC Assessment'!A1"/><Relationship Id="rId1" Type="http://schemas.openxmlformats.org/officeDocument/2006/relationships/hyperlink" Target="#'Language &amp; User Guidance'!A1"/><Relationship Id="rId5" Type="http://schemas.openxmlformats.org/officeDocument/2006/relationships/hyperlink" Target="#'Results (Tabular)'!A1"/><Relationship Id="rId4" Type="http://schemas.openxmlformats.org/officeDocument/2006/relationships/hyperlink" Target="#'Results (Graphical)'!A1"/></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12</xdr:col>
      <xdr:colOff>527685</xdr:colOff>
      <xdr:row>13</xdr:row>
      <xdr:rowOff>15231</xdr:rowOff>
    </xdr:from>
    <xdr:to>
      <xdr:col>16</xdr:col>
      <xdr:colOff>299085</xdr:colOff>
      <xdr:row>19</xdr:row>
      <xdr:rowOff>156201</xdr:rowOff>
    </xdr:to>
    <xdr:pic>
      <xdr:nvPicPr>
        <xdr:cNvPr id="4" name="Graphic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300085" y="2491731"/>
          <a:ext cx="2209800" cy="1283970"/>
        </a:xfrm>
        <a:prstGeom prst="rect">
          <a:avLst/>
        </a:prstGeom>
      </xdr:spPr>
    </xdr:pic>
    <xdr:clientData/>
  </xdr:twoCellAnchor>
  <xdr:twoCellAnchor editAs="oneCell">
    <xdr:from>
      <xdr:col>13</xdr:col>
      <xdr:colOff>177800</xdr:colOff>
      <xdr:row>2</xdr:row>
      <xdr:rowOff>12700</xdr:rowOff>
    </xdr:from>
    <xdr:to>
      <xdr:col>15</xdr:col>
      <xdr:colOff>417041</xdr:colOff>
      <xdr:row>9</xdr:row>
      <xdr:rowOff>128556</xdr:rowOff>
    </xdr:to>
    <xdr:pic>
      <xdr:nvPicPr>
        <xdr:cNvPr id="3" name="Picture 2">
          <a:extLst>
            <a:ext uri="{FF2B5EF4-FFF2-40B4-BE49-F238E27FC236}">
              <a16:creationId xmlns:a16="http://schemas.microsoft.com/office/drawing/2014/main" id="{549FEED9-244C-4DC7-B70B-8AEEB11B20D7}"/>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a:fillRect/>
        </a:stretch>
      </xdr:blipFill>
      <xdr:spPr bwMode="auto">
        <a:xfrm>
          <a:off x="8559800" y="393700"/>
          <a:ext cx="1458441" cy="1449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12</xdr:col>
      <xdr:colOff>127000</xdr:colOff>
      <xdr:row>24</xdr:row>
      <xdr:rowOff>4436</xdr:rowOff>
    </xdr:to>
    <xdr:pic>
      <xdr:nvPicPr>
        <xdr:cNvPr id="8" name="Picture 7">
          <a:extLst>
            <a:ext uri="{FF2B5EF4-FFF2-40B4-BE49-F238E27FC236}">
              <a16:creationId xmlns:a16="http://schemas.microsoft.com/office/drawing/2014/main" id="{BF4120B0-C5B8-B41E-7377-8B478A8BD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7899400" cy="458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28574</xdr:colOff>
          <xdr:row>1</xdr:row>
          <xdr:rowOff>19050</xdr:rowOff>
        </xdr:from>
        <xdr:to>
          <xdr:col>2</xdr:col>
          <xdr:colOff>0</xdr:colOff>
          <xdr:row>2</xdr:row>
          <xdr:rowOff>1525</xdr:rowOff>
        </xdr:to>
        <xdr:pic>
          <xdr:nvPicPr>
            <xdr:cNvPr id="2" name="Picture 1">
              <a:extLst>
                <a:ext uri="{FF2B5EF4-FFF2-40B4-BE49-F238E27FC236}">
                  <a16:creationId xmlns:a16="http://schemas.microsoft.com/office/drawing/2014/main" id="{00000000-0008-0000-0100-000002000000}"/>
                </a:ext>
              </a:extLst>
            </xdr:cNvPr>
            <xdr:cNvPicPr>
              <a:picLocks noChangeAspect="1"/>
              <a:extLst>
                <a:ext uri="{84589F7E-364E-4C9E-8A38-B11213B215E9}">
                  <a14:cameraTool cellRange="Flags" spid="_x0000_s66529"/>
                </a:ext>
              </a:extLst>
            </xdr:cNvPicPr>
          </xdr:nvPicPr>
          <xdr:blipFill>
            <a:blip xmlns:r="http://schemas.openxmlformats.org/officeDocument/2006/relationships" r:embed="rId1"/>
            <a:stretch>
              <a:fillRect/>
            </a:stretch>
          </xdr:blipFill>
          <xdr:spPr>
            <a:xfrm>
              <a:off x="2409824" y="523875"/>
              <a:ext cx="685801" cy="420625"/>
            </a:xfrm>
            <a:prstGeom prst="rect">
              <a:avLst/>
            </a:prstGeom>
          </xdr:spPr>
        </xdr:pic>
        <xdr:clientData/>
      </xdr:twoCellAnchor>
    </mc:Choice>
    <mc:Fallback/>
  </mc:AlternateContent>
  <xdr:twoCellAnchor>
    <xdr:from>
      <xdr:col>3</xdr:col>
      <xdr:colOff>342898</xdr:colOff>
      <xdr:row>0</xdr:row>
      <xdr:rowOff>171449</xdr:rowOff>
    </xdr:from>
    <xdr:to>
      <xdr:col>6</xdr:col>
      <xdr:colOff>57149</xdr:colOff>
      <xdr:row>1</xdr:row>
      <xdr:rowOff>304800</xdr:rowOff>
    </xdr:to>
    <xdr:sp macro="" textlink="'Translation Table'!$H$24">
      <xdr:nvSpPr>
        <xdr:cNvPr id="4" name="Arrow: Right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515098" y="171449"/>
          <a:ext cx="1543051" cy="638176"/>
        </a:xfrm>
        <a:prstGeom prst="rightArrow">
          <a:avLst/>
        </a:prstGeom>
        <a:solidFill>
          <a:srgbClr val="50C9F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190500</xdr:colOff>
      <xdr:row>6</xdr:row>
      <xdr:rowOff>15240</xdr:rowOff>
    </xdr:from>
    <xdr:to>
      <xdr:col>5</xdr:col>
      <xdr:colOff>586740</xdr:colOff>
      <xdr:row>7</xdr:row>
      <xdr:rowOff>0</xdr:rowOff>
    </xdr:to>
    <xdr:sp macro="" textlink="'Translation Table'!$H$23">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5200650" y="1377315"/>
          <a:ext cx="1005840" cy="394335"/>
        </a:xfrm>
        <a:prstGeom prst="rightArrow">
          <a:avLst/>
        </a:prstGeom>
        <a:solidFill>
          <a:srgbClr val="50C9F5"/>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194310</xdr:colOff>
      <xdr:row>9</xdr:row>
      <xdr:rowOff>28575</xdr:rowOff>
    </xdr:from>
    <xdr:to>
      <xdr:col>5</xdr:col>
      <xdr:colOff>590550</xdr:colOff>
      <xdr:row>9</xdr:row>
      <xdr:rowOff>424575</xdr:rowOff>
    </xdr:to>
    <xdr:sp macro="" textlink="'Translation Table'!$H$23">
      <xdr:nvSpPr>
        <xdr:cNvPr id="5" name="Arrow: Right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5204460" y="2971800"/>
          <a:ext cx="1005840" cy="396000"/>
        </a:xfrm>
        <a:prstGeom prst="rightArrow">
          <a:avLst/>
        </a:prstGeom>
        <a:solidFill>
          <a:srgbClr val="0070C0"/>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190500</xdr:colOff>
      <xdr:row>7</xdr:row>
      <xdr:rowOff>0</xdr:rowOff>
    </xdr:from>
    <xdr:to>
      <xdr:col>5</xdr:col>
      <xdr:colOff>586740</xdr:colOff>
      <xdr:row>7</xdr:row>
      <xdr:rowOff>7620</xdr:rowOff>
    </xdr:to>
    <xdr:sp macro="" textlink="'Translation Table'!$H$23">
      <xdr:nvSpPr>
        <xdr:cNvPr id="6" name="Arrow: Right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5200650" y="17716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198120</xdr:colOff>
      <xdr:row>7</xdr:row>
      <xdr:rowOff>112395</xdr:rowOff>
    </xdr:from>
    <xdr:to>
      <xdr:col>5</xdr:col>
      <xdr:colOff>594360</xdr:colOff>
      <xdr:row>7</xdr:row>
      <xdr:rowOff>508395</xdr:rowOff>
    </xdr:to>
    <xdr:sp macro="" textlink="'Translation Table'!$H$23">
      <xdr:nvSpPr>
        <xdr:cNvPr id="7" name="Arrow: Right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5208270" y="1884045"/>
          <a:ext cx="1005840" cy="39600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194310</xdr:colOff>
      <xdr:row>8</xdr:row>
      <xdr:rowOff>85725</xdr:rowOff>
    </xdr:from>
    <xdr:to>
      <xdr:col>5</xdr:col>
      <xdr:colOff>590550</xdr:colOff>
      <xdr:row>8</xdr:row>
      <xdr:rowOff>481725</xdr:rowOff>
    </xdr:to>
    <xdr:sp macro="" textlink="'Translation Table'!$H$23">
      <xdr:nvSpPr>
        <xdr:cNvPr id="9" name="Arrow: Right 8">
          <a:hlinkClick xmlns:r="http://schemas.openxmlformats.org/officeDocument/2006/relationships" r:id="rId5"/>
          <a:extLst>
            <a:ext uri="{FF2B5EF4-FFF2-40B4-BE49-F238E27FC236}">
              <a16:creationId xmlns:a16="http://schemas.microsoft.com/office/drawing/2014/main" id="{00000000-0008-0000-0200-000009000000}"/>
            </a:ext>
          </a:extLst>
        </xdr:cNvPr>
        <xdr:cNvSpPr/>
      </xdr:nvSpPr>
      <xdr:spPr>
        <a:xfrm>
          <a:off x="5204460" y="2438400"/>
          <a:ext cx="1005840" cy="39600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xdr:row>
      <xdr:rowOff>0</xdr:rowOff>
    </xdr:from>
    <xdr:to>
      <xdr:col>16</xdr:col>
      <xdr:colOff>0</xdr:colOff>
      <xdr:row>35</xdr:row>
      <xdr:rowOff>171449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361951</xdr:colOff>
      <xdr:row>2</xdr:row>
      <xdr:rowOff>76200</xdr:rowOff>
    </xdr:from>
    <xdr:to>
      <xdr:col>16</xdr:col>
      <xdr:colOff>1</xdr:colOff>
      <xdr:row>5</xdr:row>
      <xdr:rowOff>66675</xdr:rowOff>
    </xdr:to>
    <xdr:sp macro="" textlink="'Translation Table'!$H$24">
      <xdr:nvSpPr>
        <xdr:cNvPr id="8" name="Arrow: Right 7">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8286751" y="571500"/>
          <a:ext cx="1466850" cy="590550"/>
        </a:xfrm>
        <a:prstGeom prst="rightArrow">
          <a:avLst/>
        </a:prstGeom>
        <a:solidFill>
          <a:srgbClr val="50C9F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374650</xdr:colOff>
          <xdr:row>7</xdr:row>
          <xdr:rowOff>323850</xdr:rowOff>
        </xdr:to>
        <xdr:sp macro="" textlink="">
          <xdr:nvSpPr>
            <xdr:cNvPr id="67585" name="Option Button 1" hidden="1">
              <a:extLst>
                <a:ext uri="{63B3BB69-23CF-44E3-9099-C40C66FF867C}">
                  <a14:compatExt spid="_x0000_s67585"/>
                </a:ext>
                <a:ext uri="{FF2B5EF4-FFF2-40B4-BE49-F238E27FC236}">
                  <a16:creationId xmlns:a16="http://schemas.microsoft.com/office/drawing/2014/main" id="{00000000-0008-0000-03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374650</xdr:colOff>
          <xdr:row>7</xdr:row>
          <xdr:rowOff>323850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3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4</xdr:col>
          <xdr:colOff>374650</xdr:colOff>
          <xdr:row>7</xdr:row>
          <xdr:rowOff>323850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3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374650</xdr:colOff>
          <xdr:row>7</xdr:row>
          <xdr:rowOff>323850</xdr:rowOff>
        </xdr:to>
        <xdr:sp macro="" textlink="">
          <xdr:nvSpPr>
            <xdr:cNvPr id="67588" name="Option Button 4" hidden="1">
              <a:extLst>
                <a:ext uri="{63B3BB69-23CF-44E3-9099-C40C66FF867C}">
                  <a14:compatExt spid="_x0000_s67588"/>
                </a:ext>
                <a:ext uri="{FF2B5EF4-FFF2-40B4-BE49-F238E27FC236}">
                  <a16:creationId xmlns:a16="http://schemas.microsoft.com/office/drawing/2014/main" id="{00000000-0008-0000-03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8</xdr:col>
          <xdr:colOff>374650</xdr:colOff>
          <xdr:row>7</xdr:row>
          <xdr:rowOff>323850</xdr:rowOff>
        </xdr:to>
        <xdr:sp macro="" textlink="">
          <xdr:nvSpPr>
            <xdr:cNvPr id="67589" name="Option Button 5" hidden="1">
              <a:extLst>
                <a:ext uri="{63B3BB69-23CF-44E3-9099-C40C66FF867C}">
                  <a14:compatExt spid="_x0000_s67589"/>
                </a:ext>
                <a:ext uri="{FF2B5EF4-FFF2-40B4-BE49-F238E27FC236}">
                  <a16:creationId xmlns:a16="http://schemas.microsoft.com/office/drawing/2014/main" id="{00000000-0008-0000-03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374650</xdr:colOff>
          <xdr:row>7</xdr:row>
          <xdr:rowOff>323850</xdr:rowOff>
        </xdr:to>
        <xdr:sp macro="" textlink="">
          <xdr:nvSpPr>
            <xdr:cNvPr id="67590" name="Option Button 6" hidden="1">
              <a:extLst>
                <a:ext uri="{63B3BB69-23CF-44E3-9099-C40C66FF867C}">
                  <a14:compatExt spid="_x0000_s67590"/>
                </a:ext>
                <a:ext uri="{FF2B5EF4-FFF2-40B4-BE49-F238E27FC236}">
                  <a16:creationId xmlns:a16="http://schemas.microsoft.com/office/drawing/2014/main" id="{00000000-0008-0000-03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0</xdr:rowOff>
        </xdr:from>
        <xdr:to>
          <xdr:col>12</xdr:col>
          <xdr:colOff>374650</xdr:colOff>
          <xdr:row>7</xdr:row>
          <xdr:rowOff>323850</xdr:rowOff>
        </xdr:to>
        <xdr:sp macro="" textlink="">
          <xdr:nvSpPr>
            <xdr:cNvPr id="67591" name="Option Button 7" hidden="1">
              <a:extLst>
                <a:ext uri="{63B3BB69-23CF-44E3-9099-C40C66FF867C}">
                  <a14:compatExt spid="_x0000_s67591"/>
                </a:ext>
                <a:ext uri="{FF2B5EF4-FFF2-40B4-BE49-F238E27FC236}">
                  <a16:creationId xmlns:a16="http://schemas.microsoft.com/office/drawing/2014/main" id="{00000000-0008-0000-03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xdr:row>
          <xdr:rowOff>0</xdr:rowOff>
        </xdr:from>
        <xdr:to>
          <xdr:col>14</xdr:col>
          <xdr:colOff>374650</xdr:colOff>
          <xdr:row>7</xdr:row>
          <xdr:rowOff>323850</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3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523874</xdr:colOff>
      <xdr:row>2</xdr:row>
      <xdr:rowOff>123825</xdr:rowOff>
    </xdr:from>
    <xdr:to>
      <xdr:col>6</xdr:col>
      <xdr:colOff>961274</xdr:colOff>
      <xdr:row>5</xdr:row>
      <xdr:rowOff>27975</xdr:rowOff>
    </xdr:to>
    <xdr:sp macro="" textlink="'Translation Table'!$H$24">
      <xdr:nvSpPr>
        <xdr:cNvPr id="2" name="Arrow: Right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8077199" y="609600"/>
          <a:ext cx="1580400" cy="532800"/>
        </a:xfrm>
        <a:prstGeom prst="rightArrow">
          <a:avLst/>
        </a:prstGeom>
        <a:solidFill>
          <a:srgbClr val="50C9F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12</xdr:row>
          <xdr:rowOff>0</xdr:rowOff>
        </xdr:from>
        <xdr:to>
          <xdr:col>6</xdr:col>
          <xdr:colOff>0</xdr:colOff>
          <xdr:row>13</xdr:row>
          <xdr:rowOff>0</xdr:rowOff>
        </xdr:to>
        <xdr:sp macro="" textlink="">
          <xdr:nvSpPr>
            <xdr:cNvPr id="77828" name="Drop Down 4" hidden="1">
              <a:extLst>
                <a:ext uri="{63B3BB69-23CF-44E3-9099-C40C66FF867C}">
                  <a14:compatExt spid="_x0000_s77828"/>
                </a:ext>
                <a:ext uri="{FF2B5EF4-FFF2-40B4-BE49-F238E27FC236}">
                  <a16:creationId xmlns:a16="http://schemas.microsoft.com/office/drawing/2014/main" id="{00000000-0008-0000-0500-00000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xdr:row>
          <xdr:rowOff>0</xdr:rowOff>
        </xdr:from>
        <xdr:to>
          <xdr:col>6</xdr:col>
          <xdr:colOff>0</xdr:colOff>
          <xdr:row>14</xdr:row>
          <xdr:rowOff>0</xdr:rowOff>
        </xdr:to>
        <xdr:sp macro="" textlink="">
          <xdr:nvSpPr>
            <xdr:cNvPr id="77830" name="Drop Down 6" hidden="1">
              <a:extLst>
                <a:ext uri="{63B3BB69-23CF-44E3-9099-C40C66FF867C}">
                  <a14:compatExt spid="_x0000_s77830"/>
                </a:ext>
                <a:ext uri="{FF2B5EF4-FFF2-40B4-BE49-F238E27FC236}">
                  <a16:creationId xmlns:a16="http://schemas.microsoft.com/office/drawing/2014/main" id="{00000000-0008-0000-05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14</xdr:row>
          <xdr:rowOff>0</xdr:rowOff>
        </xdr:from>
        <xdr:to>
          <xdr:col>6</xdr:col>
          <xdr:colOff>0</xdr:colOff>
          <xdr:row>15</xdr:row>
          <xdr:rowOff>0</xdr:rowOff>
        </xdr:to>
        <xdr:sp macro="" textlink="">
          <xdr:nvSpPr>
            <xdr:cNvPr id="77831" name="Drop Down 7" hidden="1">
              <a:extLst>
                <a:ext uri="{63B3BB69-23CF-44E3-9099-C40C66FF867C}">
                  <a14:compatExt spid="_x0000_s77831"/>
                </a:ext>
                <a:ext uri="{FF2B5EF4-FFF2-40B4-BE49-F238E27FC236}">
                  <a16:creationId xmlns:a16="http://schemas.microsoft.com/office/drawing/2014/main" id="{00000000-0008-0000-05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xdr:row>
          <xdr:rowOff>0</xdr:rowOff>
        </xdr:from>
        <xdr:to>
          <xdr:col>6</xdr:col>
          <xdr:colOff>0</xdr:colOff>
          <xdr:row>16</xdr:row>
          <xdr:rowOff>0</xdr:rowOff>
        </xdr:to>
        <xdr:sp macro="" textlink="">
          <xdr:nvSpPr>
            <xdr:cNvPr id="77833" name="Drop Down 9" hidden="1">
              <a:extLst>
                <a:ext uri="{63B3BB69-23CF-44E3-9099-C40C66FF867C}">
                  <a14:compatExt spid="_x0000_s77833"/>
                </a:ext>
                <a:ext uri="{FF2B5EF4-FFF2-40B4-BE49-F238E27FC236}">
                  <a16:creationId xmlns:a16="http://schemas.microsoft.com/office/drawing/2014/main" id="{00000000-0008-0000-05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xdr:row>
          <xdr:rowOff>0</xdr:rowOff>
        </xdr:from>
        <xdr:to>
          <xdr:col>6</xdr:col>
          <xdr:colOff>0</xdr:colOff>
          <xdr:row>17</xdr:row>
          <xdr:rowOff>0</xdr:rowOff>
        </xdr:to>
        <xdr:sp macro="" textlink="">
          <xdr:nvSpPr>
            <xdr:cNvPr id="77834" name="Drop Down 10" hidden="1">
              <a:extLst>
                <a:ext uri="{63B3BB69-23CF-44E3-9099-C40C66FF867C}">
                  <a14:compatExt spid="_x0000_s77834"/>
                </a:ext>
                <a:ext uri="{FF2B5EF4-FFF2-40B4-BE49-F238E27FC236}">
                  <a16:creationId xmlns:a16="http://schemas.microsoft.com/office/drawing/2014/main" id="{00000000-0008-0000-0500-00000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11</xdr:row>
          <xdr:rowOff>0</xdr:rowOff>
        </xdr:from>
        <xdr:to>
          <xdr:col>9</xdr:col>
          <xdr:colOff>0</xdr:colOff>
          <xdr:row>12</xdr:row>
          <xdr:rowOff>0</xdr:rowOff>
        </xdr:to>
        <xdr:sp macro="" textlink="">
          <xdr:nvSpPr>
            <xdr:cNvPr id="77835" name="Drop Down 11" hidden="1">
              <a:extLst>
                <a:ext uri="{63B3BB69-23CF-44E3-9099-C40C66FF867C}">
                  <a14:compatExt spid="_x0000_s77835"/>
                </a:ext>
                <a:ext uri="{FF2B5EF4-FFF2-40B4-BE49-F238E27FC236}">
                  <a16:creationId xmlns:a16="http://schemas.microsoft.com/office/drawing/2014/main" id="{00000000-0008-0000-0500-00000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xdr:row>
          <xdr:rowOff>0</xdr:rowOff>
        </xdr:from>
        <xdr:to>
          <xdr:col>9</xdr:col>
          <xdr:colOff>0</xdr:colOff>
          <xdr:row>13</xdr:row>
          <xdr:rowOff>0</xdr:rowOff>
        </xdr:to>
        <xdr:sp macro="" textlink="">
          <xdr:nvSpPr>
            <xdr:cNvPr id="77836" name="Drop Down 12" hidden="1">
              <a:extLst>
                <a:ext uri="{63B3BB69-23CF-44E3-9099-C40C66FF867C}">
                  <a14:compatExt spid="_x0000_s77836"/>
                </a:ext>
                <a:ext uri="{FF2B5EF4-FFF2-40B4-BE49-F238E27FC236}">
                  <a16:creationId xmlns:a16="http://schemas.microsoft.com/office/drawing/2014/main" id="{00000000-0008-0000-0500-00000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xdr:row>
          <xdr:rowOff>0</xdr:rowOff>
        </xdr:from>
        <xdr:to>
          <xdr:col>9</xdr:col>
          <xdr:colOff>0</xdr:colOff>
          <xdr:row>14</xdr:row>
          <xdr:rowOff>0</xdr:rowOff>
        </xdr:to>
        <xdr:sp macro="" textlink="">
          <xdr:nvSpPr>
            <xdr:cNvPr id="77837" name="Drop Down 13" hidden="1">
              <a:extLst>
                <a:ext uri="{63B3BB69-23CF-44E3-9099-C40C66FF867C}">
                  <a14:compatExt spid="_x0000_s77837"/>
                </a:ext>
                <a:ext uri="{FF2B5EF4-FFF2-40B4-BE49-F238E27FC236}">
                  <a16:creationId xmlns:a16="http://schemas.microsoft.com/office/drawing/2014/main" id="{00000000-0008-0000-0500-00000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14</xdr:row>
          <xdr:rowOff>0</xdr:rowOff>
        </xdr:from>
        <xdr:to>
          <xdr:col>9</xdr:col>
          <xdr:colOff>0</xdr:colOff>
          <xdr:row>15</xdr:row>
          <xdr:rowOff>0</xdr:rowOff>
        </xdr:to>
        <xdr:sp macro="" textlink="">
          <xdr:nvSpPr>
            <xdr:cNvPr id="77838" name="Drop Down 14" hidden="1">
              <a:extLst>
                <a:ext uri="{63B3BB69-23CF-44E3-9099-C40C66FF867C}">
                  <a14:compatExt spid="_x0000_s77838"/>
                </a:ext>
                <a:ext uri="{FF2B5EF4-FFF2-40B4-BE49-F238E27FC236}">
                  <a16:creationId xmlns:a16="http://schemas.microsoft.com/office/drawing/2014/main" id="{00000000-0008-0000-0500-00000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15</xdr:row>
          <xdr:rowOff>0</xdr:rowOff>
        </xdr:from>
        <xdr:to>
          <xdr:col>9</xdr:col>
          <xdr:colOff>0</xdr:colOff>
          <xdr:row>16</xdr:row>
          <xdr:rowOff>0</xdr:rowOff>
        </xdr:to>
        <xdr:sp macro="" textlink="">
          <xdr:nvSpPr>
            <xdr:cNvPr id="77839" name="Drop Down 15" hidden="1">
              <a:extLst>
                <a:ext uri="{63B3BB69-23CF-44E3-9099-C40C66FF867C}">
                  <a14:compatExt spid="_x0000_s77839"/>
                </a:ext>
                <a:ext uri="{FF2B5EF4-FFF2-40B4-BE49-F238E27FC236}">
                  <a16:creationId xmlns:a16="http://schemas.microsoft.com/office/drawing/2014/main" id="{00000000-0008-0000-05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16</xdr:row>
          <xdr:rowOff>0</xdr:rowOff>
        </xdr:from>
        <xdr:to>
          <xdr:col>9</xdr:col>
          <xdr:colOff>0</xdr:colOff>
          <xdr:row>17</xdr:row>
          <xdr:rowOff>0</xdr:rowOff>
        </xdr:to>
        <xdr:sp macro="" textlink="">
          <xdr:nvSpPr>
            <xdr:cNvPr id="77840" name="Drop Down 16" hidden="1">
              <a:extLst>
                <a:ext uri="{63B3BB69-23CF-44E3-9099-C40C66FF867C}">
                  <a14:compatExt spid="_x0000_s77840"/>
                </a:ext>
                <a:ext uri="{FF2B5EF4-FFF2-40B4-BE49-F238E27FC236}">
                  <a16:creationId xmlns:a16="http://schemas.microsoft.com/office/drawing/2014/main" id="{00000000-0008-0000-05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0</xdr:rowOff>
        </xdr:from>
        <xdr:to>
          <xdr:col>8</xdr:col>
          <xdr:colOff>0</xdr:colOff>
          <xdr:row>12</xdr:row>
          <xdr:rowOff>0</xdr:rowOff>
        </xdr:to>
        <xdr:sp macro="" textlink="">
          <xdr:nvSpPr>
            <xdr:cNvPr id="77841" name="Drop Down 17" hidden="1">
              <a:extLst>
                <a:ext uri="{63B3BB69-23CF-44E3-9099-C40C66FF867C}">
                  <a14:compatExt spid="_x0000_s77841"/>
                </a:ext>
                <a:ext uri="{FF2B5EF4-FFF2-40B4-BE49-F238E27FC236}">
                  <a16:creationId xmlns:a16="http://schemas.microsoft.com/office/drawing/2014/main" id="{00000000-0008-0000-05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sp macro="" textlink="">
          <xdr:nvSpPr>
            <xdr:cNvPr id="77842" name="Drop Down 18" hidden="1">
              <a:extLst>
                <a:ext uri="{63B3BB69-23CF-44E3-9099-C40C66FF867C}">
                  <a14:compatExt spid="_x0000_s77842"/>
                </a:ext>
                <a:ext uri="{FF2B5EF4-FFF2-40B4-BE49-F238E27FC236}">
                  <a16:creationId xmlns:a16="http://schemas.microsoft.com/office/drawing/2014/main" id="{00000000-0008-0000-05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sp macro="" textlink="">
          <xdr:nvSpPr>
            <xdr:cNvPr id="77843" name="Drop Down 19" hidden="1">
              <a:extLst>
                <a:ext uri="{63B3BB69-23CF-44E3-9099-C40C66FF867C}">
                  <a14:compatExt spid="_x0000_s77843"/>
                </a:ext>
                <a:ext uri="{FF2B5EF4-FFF2-40B4-BE49-F238E27FC236}">
                  <a16:creationId xmlns:a16="http://schemas.microsoft.com/office/drawing/2014/main" id="{00000000-0008-0000-0500-00001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0</xdr:rowOff>
        </xdr:to>
        <xdr:sp macro="" textlink="">
          <xdr:nvSpPr>
            <xdr:cNvPr id="77844" name="Drop Down 20" hidden="1">
              <a:extLst>
                <a:ext uri="{63B3BB69-23CF-44E3-9099-C40C66FF867C}">
                  <a14:compatExt spid="_x0000_s77844"/>
                </a:ext>
                <a:ext uri="{FF2B5EF4-FFF2-40B4-BE49-F238E27FC236}">
                  <a16:creationId xmlns:a16="http://schemas.microsoft.com/office/drawing/2014/main" id="{00000000-0008-0000-05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0</xdr:rowOff>
        </xdr:from>
        <xdr:to>
          <xdr:col>8</xdr:col>
          <xdr:colOff>0</xdr:colOff>
          <xdr:row>16</xdr:row>
          <xdr:rowOff>0</xdr:rowOff>
        </xdr:to>
        <xdr:sp macro="" textlink="">
          <xdr:nvSpPr>
            <xdr:cNvPr id="77846" name="Drop Down 22" hidden="1">
              <a:extLst>
                <a:ext uri="{63B3BB69-23CF-44E3-9099-C40C66FF867C}">
                  <a14:compatExt spid="_x0000_s77846"/>
                </a:ext>
                <a:ext uri="{FF2B5EF4-FFF2-40B4-BE49-F238E27FC236}">
                  <a16:creationId xmlns:a16="http://schemas.microsoft.com/office/drawing/2014/main" id="{00000000-0008-0000-0500-00001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xdr:row>
          <xdr:rowOff>0</xdr:rowOff>
        </xdr:from>
        <xdr:to>
          <xdr:col>8</xdr:col>
          <xdr:colOff>0</xdr:colOff>
          <xdr:row>17</xdr:row>
          <xdr:rowOff>0</xdr:rowOff>
        </xdr:to>
        <xdr:sp macro="" textlink="">
          <xdr:nvSpPr>
            <xdr:cNvPr id="77847" name="Drop Down 23" hidden="1">
              <a:extLst>
                <a:ext uri="{63B3BB69-23CF-44E3-9099-C40C66FF867C}">
                  <a14:compatExt spid="_x0000_s77847"/>
                </a:ext>
                <a:ext uri="{FF2B5EF4-FFF2-40B4-BE49-F238E27FC236}">
                  <a16:creationId xmlns:a16="http://schemas.microsoft.com/office/drawing/2014/main" id="{00000000-0008-0000-0500-00001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xdr:row>
          <xdr:rowOff>0</xdr:rowOff>
        </xdr:from>
        <xdr:to>
          <xdr:col>11</xdr:col>
          <xdr:colOff>0</xdr:colOff>
          <xdr:row>12</xdr:row>
          <xdr:rowOff>0</xdr:rowOff>
        </xdr:to>
        <xdr:sp macro="" textlink="">
          <xdr:nvSpPr>
            <xdr:cNvPr id="77848" name="Drop Down 24" hidden="1">
              <a:extLst>
                <a:ext uri="{63B3BB69-23CF-44E3-9099-C40C66FF867C}">
                  <a14:compatExt spid="_x0000_s77848"/>
                </a:ext>
                <a:ext uri="{FF2B5EF4-FFF2-40B4-BE49-F238E27FC236}">
                  <a16:creationId xmlns:a16="http://schemas.microsoft.com/office/drawing/2014/main" id="{00000000-0008-0000-0500-00001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0</xdr:rowOff>
        </xdr:from>
        <xdr:to>
          <xdr:col>11</xdr:col>
          <xdr:colOff>0</xdr:colOff>
          <xdr:row>13</xdr:row>
          <xdr:rowOff>0</xdr:rowOff>
        </xdr:to>
        <xdr:sp macro="" textlink="">
          <xdr:nvSpPr>
            <xdr:cNvPr id="77849" name="Drop Down 25" hidden="1">
              <a:extLst>
                <a:ext uri="{63B3BB69-23CF-44E3-9099-C40C66FF867C}">
                  <a14:compatExt spid="_x0000_s77849"/>
                </a:ext>
                <a:ext uri="{FF2B5EF4-FFF2-40B4-BE49-F238E27FC236}">
                  <a16:creationId xmlns:a16="http://schemas.microsoft.com/office/drawing/2014/main" id="{00000000-0008-0000-0500-00001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0</xdr:rowOff>
        </xdr:from>
        <xdr:to>
          <xdr:col>11</xdr:col>
          <xdr:colOff>0</xdr:colOff>
          <xdr:row>14</xdr:row>
          <xdr:rowOff>0</xdr:rowOff>
        </xdr:to>
        <xdr:sp macro="" textlink="">
          <xdr:nvSpPr>
            <xdr:cNvPr id="77850" name="Drop Down 26" hidden="1">
              <a:extLst>
                <a:ext uri="{63B3BB69-23CF-44E3-9099-C40C66FF867C}">
                  <a14:compatExt spid="_x0000_s77850"/>
                </a:ext>
                <a:ext uri="{FF2B5EF4-FFF2-40B4-BE49-F238E27FC236}">
                  <a16:creationId xmlns:a16="http://schemas.microsoft.com/office/drawing/2014/main" id="{00000000-0008-0000-0500-00001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11</xdr:col>
          <xdr:colOff>0</xdr:colOff>
          <xdr:row>15</xdr:row>
          <xdr:rowOff>0</xdr:rowOff>
        </xdr:to>
        <xdr:sp macro="" textlink="">
          <xdr:nvSpPr>
            <xdr:cNvPr id="77851" name="Drop Down 27" hidden="1">
              <a:extLst>
                <a:ext uri="{63B3BB69-23CF-44E3-9099-C40C66FF867C}">
                  <a14:compatExt spid="_x0000_s77851"/>
                </a:ext>
                <a:ext uri="{FF2B5EF4-FFF2-40B4-BE49-F238E27FC236}">
                  <a16:creationId xmlns:a16="http://schemas.microsoft.com/office/drawing/2014/main" id="{00000000-0008-0000-0500-00001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0</xdr:rowOff>
        </xdr:from>
        <xdr:to>
          <xdr:col>11</xdr:col>
          <xdr:colOff>0</xdr:colOff>
          <xdr:row>16</xdr:row>
          <xdr:rowOff>0</xdr:rowOff>
        </xdr:to>
        <xdr:sp macro="" textlink="">
          <xdr:nvSpPr>
            <xdr:cNvPr id="77852" name="Drop Down 28" hidden="1">
              <a:extLst>
                <a:ext uri="{63B3BB69-23CF-44E3-9099-C40C66FF867C}">
                  <a14:compatExt spid="_x0000_s77852"/>
                </a:ext>
                <a:ext uri="{FF2B5EF4-FFF2-40B4-BE49-F238E27FC236}">
                  <a16:creationId xmlns:a16="http://schemas.microsoft.com/office/drawing/2014/main" id="{00000000-0008-0000-0500-00001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16</xdr:row>
          <xdr:rowOff>0</xdr:rowOff>
        </xdr:from>
        <xdr:to>
          <xdr:col>11</xdr:col>
          <xdr:colOff>0</xdr:colOff>
          <xdr:row>17</xdr:row>
          <xdr:rowOff>0</xdr:rowOff>
        </xdr:to>
        <xdr:sp macro="" textlink="">
          <xdr:nvSpPr>
            <xdr:cNvPr id="77853" name="Drop Down 29" hidden="1">
              <a:extLst>
                <a:ext uri="{63B3BB69-23CF-44E3-9099-C40C66FF867C}">
                  <a14:compatExt spid="_x0000_s77853"/>
                </a:ext>
                <a:ext uri="{FF2B5EF4-FFF2-40B4-BE49-F238E27FC236}">
                  <a16:creationId xmlns:a16="http://schemas.microsoft.com/office/drawing/2014/main" id="{00000000-0008-0000-0500-00001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77854" name="Drop Down 30" hidden="1">
              <a:extLst>
                <a:ext uri="{63B3BB69-23CF-44E3-9099-C40C66FF867C}">
                  <a14:compatExt spid="_x0000_s77854"/>
                </a:ext>
                <a:ext uri="{FF2B5EF4-FFF2-40B4-BE49-F238E27FC236}">
                  <a16:creationId xmlns:a16="http://schemas.microsoft.com/office/drawing/2014/main" id="{00000000-0008-0000-0500-00001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77892" name="Drop Down 68" hidden="1">
              <a:extLst>
                <a:ext uri="{63B3BB69-23CF-44E3-9099-C40C66FF867C}">
                  <a14:compatExt spid="_x0000_s77892"/>
                </a:ext>
                <a:ext uri="{FF2B5EF4-FFF2-40B4-BE49-F238E27FC236}">
                  <a16:creationId xmlns:a16="http://schemas.microsoft.com/office/drawing/2014/main" id="{00000000-0008-0000-0500-00004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xdr:row>
          <xdr:rowOff>0</xdr:rowOff>
        </xdr:from>
        <xdr:to>
          <xdr:col>6</xdr:col>
          <xdr:colOff>0</xdr:colOff>
          <xdr:row>12</xdr:row>
          <xdr:rowOff>0</xdr:rowOff>
        </xdr:to>
        <xdr:sp macro="" textlink="">
          <xdr:nvSpPr>
            <xdr:cNvPr id="77893" name="Drop Down 69" hidden="1">
              <a:extLst>
                <a:ext uri="{63B3BB69-23CF-44E3-9099-C40C66FF867C}">
                  <a14:compatExt spid="_x0000_s77893"/>
                </a:ext>
                <a:ext uri="{FF2B5EF4-FFF2-40B4-BE49-F238E27FC236}">
                  <a16:creationId xmlns:a16="http://schemas.microsoft.com/office/drawing/2014/main" id="{00000000-0008-0000-0500-00004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57</xdr:row>
          <xdr:rowOff>0</xdr:rowOff>
        </xdr:from>
        <xdr:to>
          <xdr:col>8</xdr:col>
          <xdr:colOff>0</xdr:colOff>
          <xdr:row>58</xdr:row>
          <xdr:rowOff>0</xdr:rowOff>
        </xdr:to>
        <xdr:sp macro="" textlink="">
          <xdr:nvSpPr>
            <xdr:cNvPr id="77894" name="Drop Down 70" hidden="1">
              <a:extLst>
                <a:ext uri="{63B3BB69-23CF-44E3-9099-C40C66FF867C}">
                  <a14:compatExt spid="_x0000_s77894"/>
                </a:ext>
                <a:ext uri="{FF2B5EF4-FFF2-40B4-BE49-F238E27FC236}">
                  <a16:creationId xmlns:a16="http://schemas.microsoft.com/office/drawing/2014/main" id="{00000000-0008-0000-0500-00004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xdr:row>
          <xdr:rowOff>0</xdr:rowOff>
        </xdr:from>
        <xdr:to>
          <xdr:col>8</xdr:col>
          <xdr:colOff>0</xdr:colOff>
          <xdr:row>37</xdr:row>
          <xdr:rowOff>0</xdr:rowOff>
        </xdr:to>
        <xdr:sp macro="" textlink="">
          <xdr:nvSpPr>
            <xdr:cNvPr id="77896" name="Drop Down 72" hidden="1">
              <a:extLst>
                <a:ext uri="{63B3BB69-23CF-44E3-9099-C40C66FF867C}">
                  <a14:compatExt spid="_x0000_s77896"/>
                </a:ext>
                <a:ext uri="{FF2B5EF4-FFF2-40B4-BE49-F238E27FC236}">
                  <a16:creationId xmlns:a16="http://schemas.microsoft.com/office/drawing/2014/main" id="{00000000-0008-0000-0500-00004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sp macro="" textlink="">
          <xdr:nvSpPr>
            <xdr:cNvPr id="77897" name="Drop Down 73" hidden="1">
              <a:extLst>
                <a:ext uri="{63B3BB69-23CF-44E3-9099-C40C66FF867C}">
                  <a14:compatExt spid="_x0000_s77897"/>
                </a:ext>
                <a:ext uri="{FF2B5EF4-FFF2-40B4-BE49-F238E27FC236}">
                  <a16:creationId xmlns:a16="http://schemas.microsoft.com/office/drawing/2014/main" id="{00000000-0008-0000-0500-00004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85</xdr:row>
          <xdr:rowOff>0</xdr:rowOff>
        </xdr:from>
        <xdr:to>
          <xdr:col>8</xdr:col>
          <xdr:colOff>0</xdr:colOff>
          <xdr:row>86</xdr:row>
          <xdr:rowOff>0</xdr:rowOff>
        </xdr:to>
        <xdr:sp macro="" textlink="">
          <xdr:nvSpPr>
            <xdr:cNvPr id="77898" name="Drop Down 74" hidden="1">
              <a:extLst>
                <a:ext uri="{63B3BB69-23CF-44E3-9099-C40C66FF867C}">
                  <a14:compatExt spid="_x0000_s77898"/>
                </a:ext>
                <a:ext uri="{FF2B5EF4-FFF2-40B4-BE49-F238E27FC236}">
                  <a16:creationId xmlns:a16="http://schemas.microsoft.com/office/drawing/2014/main" id="{00000000-0008-0000-0500-00004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99</xdr:row>
          <xdr:rowOff>0</xdr:rowOff>
        </xdr:from>
        <xdr:to>
          <xdr:col>8</xdr:col>
          <xdr:colOff>0</xdr:colOff>
          <xdr:row>100</xdr:row>
          <xdr:rowOff>0</xdr:rowOff>
        </xdr:to>
        <xdr:sp macro="" textlink="">
          <xdr:nvSpPr>
            <xdr:cNvPr id="77899" name="Drop Down 75" hidden="1">
              <a:extLst>
                <a:ext uri="{63B3BB69-23CF-44E3-9099-C40C66FF867C}">
                  <a14:compatExt spid="_x0000_s77899"/>
                </a:ext>
                <a:ext uri="{FF2B5EF4-FFF2-40B4-BE49-F238E27FC236}">
                  <a16:creationId xmlns:a16="http://schemas.microsoft.com/office/drawing/2014/main" id="{00000000-0008-0000-0500-00004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127</xdr:row>
          <xdr:rowOff>0</xdr:rowOff>
        </xdr:from>
        <xdr:to>
          <xdr:col>8</xdr:col>
          <xdr:colOff>0</xdr:colOff>
          <xdr:row>128</xdr:row>
          <xdr:rowOff>0</xdr:rowOff>
        </xdr:to>
        <xdr:sp macro="" textlink="">
          <xdr:nvSpPr>
            <xdr:cNvPr id="77900" name="Drop Down 76" hidden="1">
              <a:extLst>
                <a:ext uri="{63B3BB69-23CF-44E3-9099-C40C66FF867C}">
                  <a14:compatExt spid="_x0000_s77900"/>
                </a:ext>
                <a:ext uri="{FF2B5EF4-FFF2-40B4-BE49-F238E27FC236}">
                  <a16:creationId xmlns:a16="http://schemas.microsoft.com/office/drawing/2014/main" id="{00000000-0008-0000-0500-00004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134</xdr:row>
          <xdr:rowOff>0</xdr:rowOff>
        </xdr:from>
        <xdr:to>
          <xdr:col>8</xdr:col>
          <xdr:colOff>0</xdr:colOff>
          <xdr:row>135</xdr:row>
          <xdr:rowOff>0</xdr:rowOff>
        </xdr:to>
        <xdr:sp macro="" textlink="">
          <xdr:nvSpPr>
            <xdr:cNvPr id="77901" name="Drop Down 77" hidden="1">
              <a:extLst>
                <a:ext uri="{63B3BB69-23CF-44E3-9099-C40C66FF867C}">
                  <a14:compatExt spid="_x0000_s77901"/>
                </a:ext>
                <a:ext uri="{FF2B5EF4-FFF2-40B4-BE49-F238E27FC236}">
                  <a16:creationId xmlns:a16="http://schemas.microsoft.com/office/drawing/2014/main" id="{00000000-0008-0000-0500-00004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141</xdr:row>
          <xdr:rowOff>0</xdr:rowOff>
        </xdr:from>
        <xdr:to>
          <xdr:col>8</xdr:col>
          <xdr:colOff>0</xdr:colOff>
          <xdr:row>142</xdr:row>
          <xdr:rowOff>0</xdr:rowOff>
        </xdr:to>
        <xdr:sp macro="" textlink="">
          <xdr:nvSpPr>
            <xdr:cNvPr id="77902" name="Drop Down 78" hidden="1">
              <a:extLst>
                <a:ext uri="{63B3BB69-23CF-44E3-9099-C40C66FF867C}">
                  <a14:compatExt spid="_x0000_s77902"/>
                </a:ext>
                <a:ext uri="{FF2B5EF4-FFF2-40B4-BE49-F238E27FC236}">
                  <a16:creationId xmlns:a16="http://schemas.microsoft.com/office/drawing/2014/main" id="{00000000-0008-0000-0500-00004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148</xdr:row>
          <xdr:rowOff>0</xdr:rowOff>
        </xdr:from>
        <xdr:to>
          <xdr:col>8</xdr:col>
          <xdr:colOff>0</xdr:colOff>
          <xdr:row>149</xdr:row>
          <xdr:rowOff>0</xdr:rowOff>
        </xdr:to>
        <xdr:sp macro="" textlink="">
          <xdr:nvSpPr>
            <xdr:cNvPr id="77903" name="Drop Down 79" hidden="1">
              <a:extLst>
                <a:ext uri="{63B3BB69-23CF-44E3-9099-C40C66FF867C}">
                  <a14:compatExt spid="_x0000_s77903"/>
                </a:ext>
                <a:ext uri="{FF2B5EF4-FFF2-40B4-BE49-F238E27FC236}">
                  <a16:creationId xmlns:a16="http://schemas.microsoft.com/office/drawing/2014/main" id="{00000000-0008-0000-0500-00004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155</xdr:row>
          <xdr:rowOff>0</xdr:rowOff>
        </xdr:from>
        <xdr:to>
          <xdr:col>8</xdr:col>
          <xdr:colOff>0</xdr:colOff>
          <xdr:row>156</xdr:row>
          <xdr:rowOff>0</xdr:rowOff>
        </xdr:to>
        <xdr:sp macro="" textlink="">
          <xdr:nvSpPr>
            <xdr:cNvPr id="77904" name="Drop Down 80" hidden="1">
              <a:extLst>
                <a:ext uri="{63B3BB69-23CF-44E3-9099-C40C66FF867C}">
                  <a14:compatExt spid="_x0000_s77904"/>
                </a:ext>
                <a:ext uri="{FF2B5EF4-FFF2-40B4-BE49-F238E27FC236}">
                  <a16:creationId xmlns:a16="http://schemas.microsoft.com/office/drawing/2014/main" id="{00000000-0008-0000-0500-00005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162</xdr:row>
          <xdr:rowOff>0</xdr:rowOff>
        </xdr:from>
        <xdr:to>
          <xdr:col>8</xdr:col>
          <xdr:colOff>0</xdr:colOff>
          <xdr:row>163</xdr:row>
          <xdr:rowOff>0</xdr:rowOff>
        </xdr:to>
        <xdr:sp macro="" textlink="">
          <xdr:nvSpPr>
            <xdr:cNvPr id="77905" name="Drop Down 81" hidden="1">
              <a:extLst>
                <a:ext uri="{63B3BB69-23CF-44E3-9099-C40C66FF867C}">
                  <a14:compatExt spid="_x0000_s77905"/>
                </a:ext>
                <a:ext uri="{FF2B5EF4-FFF2-40B4-BE49-F238E27FC236}">
                  <a16:creationId xmlns:a16="http://schemas.microsoft.com/office/drawing/2014/main" id="{00000000-0008-0000-0500-00005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169</xdr:row>
          <xdr:rowOff>0</xdr:rowOff>
        </xdr:from>
        <xdr:to>
          <xdr:col>8</xdr:col>
          <xdr:colOff>0</xdr:colOff>
          <xdr:row>170</xdr:row>
          <xdr:rowOff>0</xdr:rowOff>
        </xdr:to>
        <xdr:sp macro="" textlink="">
          <xdr:nvSpPr>
            <xdr:cNvPr id="77906" name="Drop Down 82" hidden="1">
              <a:extLst>
                <a:ext uri="{63B3BB69-23CF-44E3-9099-C40C66FF867C}">
                  <a14:compatExt spid="_x0000_s77906"/>
                </a:ext>
                <a:ext uri="{FF2B5EF4-FFF2-40B4-BE49-F238E27FC236}">
                  <a16:creationId xmlns:a16="http://schemas.microsoft.com/office/drawing/2014/main" id="{00000000-0008-0000-0500-00005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176</xdr:row>
          <xdr:rowOff>0</xdr:rowOff>
        </xdr:from>
        <xdr:to>
          <xdr:col>8</xdr:col>
          <xdr:colOff>0</xdr:colOff>
          <xdr:row>177</xdr:row>
          <xdr:rowOff>0</xdr:rowOff>
        </xdr:to>
        <xdr:sp macro="" textlink="">
          <xdr:nvSpPr>
            <xdr:cNvPr id="77907" name="Drop Down 83" hidden="1">
              <a:extLst>
                <a:ext uri="{63B3BB69-23CF-44E3-9099-C40C66FF867C}">
                  <a14:compatExt spid="_x0000_s77907"/>
                </a:ext>
                <a:ext uri="{FF2B5EF4-FFF2-40B4-BE49-F238E27FC236}">
                  <a16:creationId xmlns:a16="http://schemas.microsoft.com/office/drawing/2014/main" id="{00000000-0008-0000-0500-00005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190</xdr:row>
          <xdr:rowOff>0</xdr:rowOff>
        </xdr:from>
        <xdr:to>
          <xdr:col>8</xdr:col>
          <xdr:colOff>0</xdr:colOff>
          <xdr:row>191</xdr:row>
          <xdr:rowOff>0</xdr:rowOff>
        </xdr:to>
        <xdr:sp macro="" textlink="">
          <xdr:nvSpPr>
            <xdr:cNvPr id="77908" name="Drop Down 84" hidden="1">
              <a:extLst>
                <a:ext uri="{63B3BB69-23CF-44E3-9099-C40C66FF867C}">
                  <a14:compatExt spid="_x0000_s77908"/>
                </a:ext>
                <a:ext uri="{FF2B5EF4-FFF2-40B4-BE49-F238E27FC236}">
                  <a16:creationId xmlns:a16="http://schemas.microsoft.com/office/drawing/2014/main" id="{00000000-0008-0000-0500-00005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197</xdr:row>
          <xdr:rowOff>0</xdr:rowOff>
        </xdr:from>
        <xdr:to>
          <xdr:col>8</xdr:col>
          <xdr:colOff>0</xdr:colOff>
          <xdr:row>198</xdr:row>
          <xdr:rowOff>0</xdr:rowOff>
        </xdr:to>
        <xdr:sp macro="" textlink="">
          <xdr:nvSpPr>
            <xdr:cNvPr id="77909" name="Drop Down 85" hidden="1">
              <a:extLst>
                <a:ext uri="{63B3BB69-23CF-44E3-9099-C40C66FF867C}">
                  <a14:compatExt spid="_x0000_s77909"/>
                </a:ext>
                <a:ext uri="{FF2B5EF4-FFF2-40B4-BE49-F238E27FC236}">
                  <a16:creationId xmlns:a16="http://schemas.microsoft.com/office/drawing/2014/main" id="{00000000-0008-0000-0500-00005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204</xdr:row>
          <xdr:rowOff>0</xdr:rowOff>
        </xdr:from>
        <xdr:to>
          <xdr:col>8</xdr:col>
          <xdr:colOff>0</xdr:colOff>
          <xdr:row>205</xdr:row>
          <xdr:rowOff>0</xdr:rowOff>
        </xdr:to>
        <xdr:sp macro="" textlink="">
          <xdr:nvSpPr>
            <xdr:cNvPr id="77910" name="Drop Down 86" hidden="1">
              <a:extLst>
                <a:ext uri="{63B3BB69-23CF-44E3-9099-C40C66FF867C}">
                  <a14:compatExt spid="_x0000_s77910"/>
                </a:ext>
                <a:ext uri="{FF2B5EF4-FFF2-40B4-BE49-F238E27FC236}">
                  <a16:creationId xmlns:a16="http://schemas.microsoft.com/office/drawing/2014/main" id="{00000000-0008-0000-0500-00005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274</xdr:row>
          <xdr:rowOff>0</xdr:rowOff>
        </xdr:from>
        <xdr:to>
          <xdr:col>8</xdr:col>
          <xdr:colOff>0</xdr:colOff>
          <xdr:row>275</xdr:row>
          <xdr:rowOff>0</xdr:rowOff>
        </xdr:to>
        <xdr:sp macro="" textlink="">
          <xdr:nvSpPr>
            <xdr:cNvPr id="77911" name="Drop Down 87" hidden="1">
              <a:extLst>
                <a:ext uri="{63B3BB69-23CF-44E3-9099-C40C66FF867C}">
                  <a14:compatExt spid="_x0000_s77911"/>
                </a:ext>
                <a:ext uri="{FF2B5EF4-FFF2-40B4-BE49-F238E27FC236}">
                  <a16:creationId xmlns:a16="http://schemas.microsoft.com/office/drawing/2014/main" id="{00000000-0008-0000-0500-00005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295</xdr:row>
          <xdr:rowOff>0</xdr:rowOff>
        </xdr:from>
        <xdr:to>
          <xdr:col>8</xdr:col>
          <xdr:colOff>0</xdr:colOff>
          <xdr:row>296</xdr:row>
          <xdr:rowOff>0</xdr:rowOff>
        </xdr:to>
        <xdr:sp macro="" textlink="">
          <xdr:nvSpPr>
            <xdr:cNvPr id="77912" name="Drop Down 88" hidden="1">
              <a:extLst>
                <a:ext uri="{63B3BB69-23CF-44E3-9099-C40C66FF867C}">
                  <a14:compatExt spid="_x0000_s77912"/>
                </a:ext>
                <a:ext uri="{FF2B5EF4-FFF2-40B4-BE49-F238E27FC236}">
                  <a16:creationId xmlns:a16="http://schemas.microsoft.com/office/drawing/2014/main" id="{00000000-0008-0000-0500-00005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316</xdr:row>
          <xdr:rowOff>0</xdr:rowOff>
        </xdr:from>
        <xdr:to>
          <xdr:col>8</xdr:col>
          <xdr:colOff>0</xdr:colOff>
          <xdr:row>317</xdr:row>
          <xdr:rowOff>0</xdr:rowOff>
        </xdr:to>
        <xdr:sp macro="" textlink="">
          <xdr:nvSpPr>
            <xdr:cNvPr id="77913" name="Drop Down 89" hidden="1">
              <a:extLst>
                <a:ext uri="{63B3BB69-23CF-44E3-9099-C40C66FF867C}">
                  <a14:compatExt spid="_x0000_s77913"/>
                </a:ext>
                <a:ext uri="{FF2B5EF4-FFF2-40B4-BE49-F238E27FC236}">
                  <a16:creationId xmlns:a16="http://schemas.microsoft.com/office/drawing/2014/main" id="{00000000-0008-0000-0500-00005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323</xdr:row>
          <xdr:rowOff>0</xdr:rowOff>
        </xdr:from>
        <xdr:to>
          <xdr:col>8</xdr:col>
          <xdr:colOff>0</xdr:colOff>
          <xdr:row>324</xdr:row>
          <xdr:rowOff>0</xdr:rowOff>
        </xdr:to>
        <xdr:sp macro="" textlink="">
          <xdr:nvSpPr>
            <xdr:cNvPr id="77914" name="Drop Down 90" hidden="1">
              <a:extLst>
                <a:ext uri="{63B3BB69-23CF-44E3-9099-C40C66FF867C}">
                  <a14:compatExt spid="_x0000_s77914"/>
                </a:ext>
                <a:ext uri="{FF2B5EF4-FFF2-40B4-BE49-F238E27FC236}">
                  <a16:creationId xmlns:a16="http://schemas.microsoft.com/office/drawing/2014/main" id="{00000000-0008-0000-0500-00005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337</xdr:row>
          <xdr:rowOff>0</xdr:rowOff>
        </xdr:from>
        <xdr:to>
          <xdr:col>8</xdr:col>
          <xdr:colOff>0</xdr:colOff>
          <xdr:row>338</xdr:row>
          <xdr:rowOff>0</xdr:rowOff>
        </xdr:to>
        <xdr:sp macro="" textlink="">
          <xdr:nvSpPr>
            <xdr:cNvPr id="77915" name="Drop Down 91" hidden="1">
              <a:extLst>
                <a:ext uri="{63B3BB69-23CF-44E3-9099-C40C66FF867C}">
                  <a14:compatExt spid="_x0000_s77915"/>
                </a:ext>
                <a:ext uri="{FF2B5EF4-FFF2-40B4-BE49-F238E27FC236}">
                  <a16:creationId xmlns:a16="http://schemas.microsoft.com/office/drawing/2014/main" id="{00000000-0008-0000-0500-00005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365</xdr:row>
          <xdr:rowOff>0</xdr:rowOff>
        </xdr:from>
        <xdr:to>
          <xdr:col>8</xdr:col>
          <xdr:colOff>0</xdr:colOff>
          <xdr:row>366</xdr:row>
          <xdr:rowOff>0</xdr:rowOff>
        </xdr:to>
        <xdr:sp macro="" textlink="">
          <xdr:nvSpPr>
            <xdr:cNvPr id="77916" name="Drop Down 92" hidden="1">
              <a:extLst>
                <a:ext uri="{63B3BB69-23CF-44E3-9099-C40C66FF867C}">
                  <a14:compatExt spid="_x0000_s77916"/>
                </a:ext>
                <a:ext uri="{FF2B5EF4-FFF2-40B4-BE49-F238E27FC236}">
                  <a16:creationId xmlns:a16="http://schemas.microsoft.com/office/drawing/2014/main" id="{00000000-0008-0000-0500-00005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372</xdr:row>
          <xdr:rowOff>0</xdr:rowOff>
        </xdr:from>
        <xdr:to>
          <xdr:col>8</xdr:col>
          <xdr:colOff>0</xdr:colOff>
          <xdr:row>373</xdr:row>
          <xdr:rowOff>0</xdr:rowOff>
        </xdr:to>
        <xdr:sp macro="" textlink="">
          <xdr:nvSpPr>
            <xdr:cNvPr id="77917" name="Drop Down 93" hidden="1">
              <a:extLst>
                <a:ext uri="{63B3BB69-23CF-44E3-9099-C40C66FF867C}">
                  <a14:compatExt spid="_x0000_s77917"/>
                </a:ext>
                <a:ext uri="{FF2B5EF4-FFF2-40B4-BE49-F238E27FC236}">
                  <a16:creationId xmlns:a16="http://schemas.microsoft.com/office/drawing/2014/main" id="{00000000-0008-0000-0500-00005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379</xdr:row>
          <xdr:rowOff>0</xdr:rowOff>
        </xdr:from>
        <xdr:to>
          <xdr:col>8</xdr:col>
          <xdr:colOff>0</xdr:colOff>
          <xdr:row>380</xdr:row>
          <xdr:rowOff>0</xdr:rowOff>
        </xdr:to>
        <xdr:sp macro="" textlink="">
          <xdr:nvSpPr>
            <xdr:cNvPr id="77918" name="Drop Down 94" hidden="1">
              <a:extLst>
                <a:ext uri="{63B3BB69-23CF-44E3-9099-C40C66FF867C}">
                  <a14:compatExt spid="_x0000_s77918"/>
                </a:ext>
                <a:ext uri="{FF2B5EF4-FFF2-40B4-BE49-F238E27FC236}">
                  <a16:creationId xmlns:a16="http://schemas.microsoft.com/office/drawing/2014/main" id="{00000000-0008-0000-0500-00005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393</xdr:row>
          <xdr:rowOff>0</xdr:rowOff>
        </xdr:from>
        <xdr:to>
          <xdr:col>8</xdr:col>
          <xdr:colOff>0</xdr:colOff>
          <xdr:row>394</xdr:row>
          <xdr:rowOff>0</xdr:rowOff>
        </xdr:to>
        <xdr:sp macro="" textlink="">
          <xdr:nvSpPr>
            <xdr:cNvPr id="77919" name="Drop Down 95" hidden="1">
              <a:extLst>
                <a:ext uri="{63B3BB69-23CF-44E3-9099-C40C66FF867C}">
                  <a14:compatExt spid="_x0000_s77919"/>
                </a:ext>
                <a:ext uri="{FF2B5EF4-FFF2-40B4-BE49-F238E27FC236}">
                  <a16:creationId xmlns:a16="http://schemas.microsoft.com/office/drawing/2014/main" id="{00000000-0008-0000-0500-00005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400</xdr:row>
          <xdr:rowOff>0</xdr:rowOff>
        </xdr:from>
        <xdr:to>
          <xdr:col>8</xdr:col>
          <xdr:colOff>0</xdr:colOff>
          <xdr:row>401</xdr:row>
          <xdr:rowOff>0</xdr:rowOff>
        </xdr:to>
        <xdr:sp macro="" textlink="">
          <xdr:nvSpPr>
            <xdr:cNvPr id="77920" name="Drop Down 96" hidden="1">
              <a:extLst>
                <a:ext uri="{63B3BB69-23CF-44E3-9099-C40C66FF867C}">
                  <a14:compatExt spid="_x0000_s77920"/>
                </a:ext>
                <a:ext uri="{FF2B5EF4-FFF2-40B4-BE49-F238E27FC236}">
                  <a16:creationId xmlns:a16="http://schemas.microsoft.com/office/drawing/2014/main" id="{00000000-0008-0000-0500-00006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407</xdr:row>
          <xdr:rowOff>0</xdr:rowOff>
        </xdr:from>
        <xdr:to>
          <xdr:col>8</xdr:col>
          <xdr:colOff>0</xdr:colOff>
          <xdr:row>408</xdr:row>
          <xdr:rowOff>0</xdr:rowOff>
        </xdr:to>
        <xdr:sp macro="" textlink="">
          <xdr:nvSpPr>
            <xdr:cNvPr id="77921" name="Drop Down 97" hidden="1">
              <a:extLst>
                <a:ext uri="{63B3BB69-23CF-44E3-9099-C40C66FF867C}">
                  <a14:compatExt spid="_x0000_s77921"/>
                </a:ext>
                <a:ext uri="{FF2B5EF4-FFF2-40B4-BE49-F238E27FC236}">
                  <a16:creationId xmlns:a16="http://schemas.microsoft.com/office/drawing/2014/main" id="{00000000-0008-0000-0500-00006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428</xdr:row>
          <xdr:rowOff>0</xdr:rowOff>
        </xdr:from>
        <xdr:to>
          <xdr:col>8</xdr:col>
          <xdr:colOff>0</xdr:colOff>
          <xdr:row>429</xdr:row>
          <xdr:rowOff>0</xdr:rowOff>
        </xdr:to>
        <xdr:sp macro="" textlink="">
          <xdr:nvSpPr>
            <xdr:cNvPr id="77922" name="Drop Down 98" hidden="1">
              <a:extLst>
                <a:ext uri="{63B3BB69-23CF-44E3-9099-C40C66FF867C}">
                  <a14:compatExt spid="_x0000_s77922"/>
                </a:ext>
                <a:ext uri="{FF2B5EF4-FFF2-40B4-BE49-F238E27FC236}">
                  <a16:creationId xmlns:a16="http://schemas.microsoft.com/office/drawing/2014/main" id="{00000000-0008-0000-0500-00006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435</xdr:row>
          <xdr:rowOff>0</xdr:rowOff>
        </xdr:from>
        <xdr:to>
          <xdr:col>8</xdr:col>
          <xdr:colOff>0</xdr:colOff>
          <xdr:row>436</xdr:row>
          <xdr:rowOff>0</xdr:rowOff>
        </xdr:to>
        <xdr:sp macro="" textlink="">
          <xdr:nvSpPr>
            <xdr:cNvPr id="77923" name="Drop Down 99" hidden="1">
              <a:extLst>
                <a:ext uri="{63B3BB69-23CF-44E3-9099-C40C66FF867C}">
                  <a14:compatExt spid="_x0000_s77923"/>
                </a:ext>
                <a:ext uri="{FF2B5EF4-FFF2-40B4-BE49-F238E27FC236}">
                  <a16:creationId xmlns:a16="http://schemas.microsoft.com/office/drawing/2014/main" id="{00000000-0008-0000-0500-00006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449</xdr:row>
          <xdr:rowOff>0</xdr:rowOff>
        </xdr:from>
        <xdr:to>
          <xdr:col>8</xdr:col>
          <xdr:colOff>0</xdr:colOff>
          <xdr:row>450</xdr:row>
          <xdr:rowOff>0</xdr:rowOff>
        </xdr:to>
        <xdr:sp macro="" textlink="">
          <xdr:nvSpPr>
            <xdr:cNvPr id="77924" name="Drop Down 100" hidden="1">
              <a:extLst>
                <a:ext uri="{63B3BB69-23CF-44E3-9099-C40C66FF867C}">
                  <a14:compatExt spid="_x0000_s77924"/>
                </a:ext>
                <a:ext uri="{FF2B5EF4-FFF2-40B4-BE49-F238E27FC236}">
                  <a16:creationId xmlns:a16="http://schemas.microsoft.com/office/drawing/2014/main" id="{00000000-0008-0000-0500-00006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477</xdr:row>
          <xdr:rowOff>0</xdr:rowOff>
        </xdr:from>
        <xdr:to>
          <xdr:col>8</xdr:col>
          <xdr:colOff>0</xdr:colOff>
          <xdr:row>478</xdr:row>
          <xdr:rowOff>0</xdr:rowOff>
        </xdr:to>
        <xdr:sp macro="" textlink="">
          <xdr:nvSpPr>
            <xdr:cNvPr id="77925" name="Drop Down 101" hidden="1">
              <a:extLst>
                <a:ext uri="{63B3BB69-23CF-44E3-9099-C40C66FF867C}">
                  <a14:compatExt spid="_x0000_s77925"/>
                </a:ext>
                <a:ext uri="{FF2B5EF4-FFF2-40B4-BE49-F238E27FC236}">
                  <a16:creationId xmlns:a16="http://schemas.microsoft.com/office/drawing/2014/main" id="{00000000-0008-0000-0500-00006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484</xdr:row>
          <xdr:rowOff>0</xdr:rowOff>
        </xdr:from>
        <xdr:to>
          <xdr:col>8</xdr:col>
          <xdr:colOff>0</xdr:colOff>
          <xdr:row>485</xdr:row>
          <xdr:rowOff>0</xdr:rowOff>
        </xdr:to>
        <xdr:sp macro="" textlink="">
          <xdr:nvSpPr>
            <xdr:cNvPr id="77926" name="Drop Down 102" hidden="1">
              <a:extLst>
                <a:ext uri="{63B3BB69-23CF-44E3-9099-C40C66FF867C}">
                  <a14:compatExt spid="_x0000_s77926"/>
                </a:ext>
                <a:ext uri="{FF2B5EF4-FFF2-40B4-BE49-F238E27FC236}">
                  <a16:creationId xmlns:a16="http://schemas.microsoft.com/office/drawing/2014/main" id="{00000000-0008-0000-0500-00006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505</xdr:row>
          <xdr:rowOff>0</xdr:rowOff>
        </xdr:from>
        <xdr:to>
          <xdr:col>8</xdr:col>
          <xdr:colOff>0</xdr:colOff>
          <xdr:row>506</xdr:row>
          <xdr:rowOff>0</xdr:rowOff>
        </xdr:to>
        <xdr:sp macro="" textlink="">
          <xdr:nvSpPr>
            <xdr:cNvPr id="77927" name="Drop Down 103" hidden="1">
              <a:extLst>
                <a:ext uri="{63B3BB69-23CF-44E3-9099-C40C66FF867C}">
                  <a14:compatExt spid="_x0000_s77927"/>
                </a:ext>
                <a:ext uri="{FF2B5EF4-FFF2-40B4-BE49-F238E27FC236}">
                  <a16:creationId xmlns:a16="http://schemas.microsoft.com/office/drawing/2014/main" id="{00000000-0008-0000-0500-00006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519</xdr:row>
          <xdr:rowOff>0</xdr:rowOff>
        </xdr:from>
        <xdr:to>
          <xdr:col>8</xdr:col>
          <xdr:colOff>0</xdr:colOff>
          <xdr:row>520</xdr:row>
          <xdr:rowOff>0</xdr:rowOff>
        </xdr:to>
        <xdr:sp macro="" textlink="">
          <xdr:nvSpPr>
            <xdr:cNvPr id="77928" name="Drop Down 104" hidden="1">
              <a:extLst>
                <a:ext uri="{63B3BB69-23CF-44E3-9099-C40C66FF867C}">
                  <a14:compatExt spid="_x0000_s77928"/>
                </a:ext>
                <a:ext uri="{FF2B5EF4-FFF2-40B4-BE49-F238E27FC236}">
                  <a16:creationId xmlns:a16="http://schemas.microsoft.com/office/drawing/2014/main" id="{00000000-0008-0000-0500-00006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547</xdr:row>
          <xdr:rowOff>0</xdr:rowOff>
        </xdr:from>
        <xdr:to>
          <xdr:col>8</xdr:col>
          <xdr:colOff>0</xdr:colOff>
          <xdr:row>548</xdr:row>
          <xdr:rowOff>0</xdr:rowOff>
        </xdr:to>
        <xdr:sp macro="" textlink="">
          <xdr:nvSpPr>
            <xdr:cNvPr id="77929" name="Drop Down 105" hidden="1">
              <a:extLst>
                <a:ext uri="{63B3BB69-23CF-44E3-9099-C40C66FF867C}">
                  <a14:compatExt spid="_x0000_s77929"/>
                </a:ext>
                <a:ext uri="{FF2B5EF4-FFF2-40B4-BE49-F238E27FC236}">
                  <a16:creationId xmlns:a16="http://schemas.microsoft.com/office/drawing/2014/main" id="{00000000-0008-0000-0500-00006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554</xdr:row>
          <xdr:rowOff>0</xdr:rowOff>
        </xdr:from>
        <xdr:to>
          <xdr:col>8</xdr:col>
          <xdr:colOff>0</xdr:colOff>
          <xdr:row>555</xdr:row>
          <xdr:rowOff>0</xdr:rowOff>
        </xdr:to>
        <xdr:sp macro="" textlink="">
          <xdr:nvSpPr>
            <xdr:cNvPr id="77930" name="Drop Down 106" hidden="1">
              <a:extLst>
                <a:ext uri="{63B3BB69-23CF-44E3-9099-C40C66FF867C}">
                  <a14:compatExt spid="_x0000_s77930"/>
                </a:ext>
                <a:ext uri="{FF2B5EF4-FFF2-40B4-BE49-F238E27FC236}">
                  <a16:creationId xmlns:a16="http://schemas.microsoft.com/office/drawing/2014/main" id="{00000000-0008-0000-0500-00006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582</xdr:row>
          <xdr:rowOff>0</xdr:rowOff>
        </xdr:from>
        <xdr:to>
          <xdr:col>8</xdr:col>
          <xdr:colOff>0</xdr:colOff>
          <xdr:row>583</xdr:row>
          <xdr:rowOff>0</xdr:rowOff>
        </xdr:to>
        <xdr:sp macro="" textlink="">
          <xdr:nvSpPr>
            <xdr:cNvPr id="77931" name="Drop Down 107" hidden="1">
              <a:extLst>
                <a:ext uri="{63B3BB69-23CF-44E3-9099-C40C66FF867C}">
                  <a14:compatExt spid="_x0000_s77931"/>
                </a:ext>
                <a:ext uri="{FF2B5EF4-FFF2-40B4-BE49-F238E27FC236}">
                  <a16:creationId xmlns:a16="http://schemas.microsoft.com/office/drawing/2014/main" id="{00000000-0008-0000-0500-00006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386</xdr:row>
          <xdr:rowOff>0</xdr:rowOff>
        </xdr:from>
        <xdr:to>
          <xdr:col>8</xdr:col>
          <xdr:colOff>0</xdr:colOff>
          <xdr:row>387</xdr:row>
          <xdr:rowOff>0</xdr:rowOff>
        </xdr:to>
        <xdr:sp macro="" textlink="">
          <xdr:nvSpPr>
            <xdr:cNvPr id="77933" name="Drop Down 109" hidden="1">
              <a:extLst>
                <a:ext uri="{63B3BB69-23CF-44E3-9099-C40C66FF867C}">
                  <a14:compatExt spid="_x0000_s77933"/>
                </a:ext>
                <a:ext uri="{FF2B5EF4-FFF2-40B4-BE49-F238E27FC236}">
                  <a16:creationId xmlns:a16="http://schemas.microsoft.com/office/drawing/2014/main" id="{00000000-0008-0000-0500-00006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457200</xdr:colOff>
      <xdr:row>1</xdr:row>
      <xdr:rowOff>57152</xdr:rowOff>
    </xdr:from>
    <xdr:to>
      <xdr:col>11</xdr:col>
      <xdr:colOff>762000</xdr:colOff>
      <xdr:row>4</xdr:row>
      <xdr:rowOff>0</xdr:rowOff>
    </xdr:to>
    <xdr:sp macro="" textlink="'Translation Table'!$H$24">
      <xdr:nvSpPr>
        <xdr:cNvPr id="2" name="Arrow: Righ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1058525" y="419102"/>
          <a:ext cx="1581150" cy="533398"/>
        </a:xfrm>
        <a:prstGeom prst="rightArrow">
          <a:avLst/>
        </a:prstGeom>
        <a:solidFill>
          <a:srgbClr val="50C9F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xdr:from>
          <xdr:col>7</xdr:col>
          <xdr:colOff>0</xdr:colOff>
          <xdr:row>113</xdr:row>
          <xdr:rowOff>0</xdr:rowOff>
        </xdr:from>
        <xdr:to>
          <xdr:col>8</xdr:col>
          <xdr:colOff>0</xdr:colOff>
          <xdr:row>114</xdr:row>
          <xdr:rowOff>0</xdr:rowOff>
        </xdr:to>
        <xdr:sp macro="" textlink="">
          <xdr:nvSpPr>
            <xdr:cNvPr id="77934" name="Drop Down 110" hidden="1">
              <a:extLst>
                <a:ext uri="{63B3BB69-23CF-44E3-9099-C40C66FF867C}">
                  <a14:compatExt spid="_x0000_s77934"/>
                </a:ext>
                <a:ext uri="{FF2B5EF4-FFF2-40B4-BE49-F238E27FC236}">
                  <a16:creationId xmlns:a16="http://schemas.microsoft.com/office/drawing/2014/main" id="{00000000-0008-0000-0500-00006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183</xdr:row>
          <xdr:rowOff>0</xdr:rowOff>
        </xdr:from>
        <xdr:to>
          <xdr:col>8</xdr:col>
          <xdr:colOff>0</xdr:colOff>
          <xdr:row>184</xdr:row>
          <xdr:rowOff>0</xdr:rowOff>
        </xdr:to>
        <xdr:sp macro="" textlink="">
          <xdr:nvSpPr>
            <xdr:cNvPr id="77935" name="Drop Down 111" hidden="1">
              <a:extLst>
                <a:ext uri="{63B3BB69-23CF-44E3-9099-C40C66FF867C}">
                  <a14:compatExt spid="_x0000_s77935"/>
                </a:ext>
                <a:ext uri="{FF2B5EF4-FFF2-40B4-BE49-F238E27FC236}">
                  <a16:creationId xmlns:a16="http://schemas.microsoft.com/office/drawing/2014/main" id="{00000000-0008-0000-0500-00006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351</xdr:row>
          <xdr:rowOff>0</xdr:rowOff>
        </xdr:from>
        <xdr:to>
          <xdr:col>8</xdr:col>
          <xdr:colOff>0</xdr:colOff>
          <xdr:row>352</xdr:row>
          <xdr:rowOff>0</xdr:rowOff>
        </xdr:to>
        <xdr:sp macro="" textlink="">
          <xdr:nvSpPr>
            <xdr:cNvPr id="77936" name="Drop Down 112" hidden="1">
              <a:extLst>
                <a:ext uri="{63B3BB69-23CF-44E3-9099-C40C66FF867C}">
                  <a14:compatExt spid="_x0000_s77936"/>
                </a:ext>
                <a:ext uri="{FF2B5EF4-FFF2-40B4-BE49-F238E27FC236}">
                  <a16:creationId xmlns:a16="http://schemas.microsoft.com/office/drawing/2014/main" id="{00000000-0008-0000-0500-00007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414</xdr:row>
          <xdr:rowOff>0</xdr:rowOff>
        </xdr:from>
        <xdr:to>
          <xdr:col>8</xdr:col>
          <xdr:colOff>0</xdr:colOff>
          <xdr:row>415</xdr:row>
          <xdr:rowOff>0</xdr:rowOff>
        </xdr:to>
        <xdr:sp macro="" textlink="">
          <xdr:nvSpPr>
            <xdr:cNvPr id="77937" name="Drop Down 113" hidden="1">
              <a:extLst>
                <a:ext uri="{63B3BB69-23CF-44E3-9099-C40C66FF867C}">
                  <a14:compatExt spid="_x0000_s77937"/>
                </a:ext>
                <a:ext uri="{FF2B5EF4-FFF2-40B4-BE49-F238E27FC236}">
                  <a16:creationId xmlns:a16="http://schemas.microsoft.com/office/drawing/2014/main" id="{00000000-0008-0000-0500-00007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421</xdr:row>
          <xdr:rowOff>0</xdr:rowOff>
        </xdr:from>
        <xdr:to>
          <xdr:col>8</xdr:col>
          <xdr:colOff>0</xdr:colOff>
          <xdr:row>422</xdr:row>
          <xdr:rowOff>0</xdr:rowOff>
        </xdr:to>
        <xdr:sp macro="" textlink="">
          <xdr:nvSpPr>
            <xdr:cNvPr id="77938" name="Drop Down 114" hidden="1">
              <a:extLst>
                <a:ext uri="{63B3BB69-23CF-44E3-9099-C40C66FF867C}">
                  <a14:compatExt spid="_x0000_s77938"/>
                </a:ext>
                <a:ext uri="{FF2B5EF4-FFF2-40B4-BE49-F238E27FC236}">
                  <a16:creationId xmlns:a16="http://schemas.microsoft.com/office/drawing/2014/main" id="{00000000-0008-0000-0500-00007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463</xdr:row>
          <xdr:rowOff>0</xdr:rowOff>
        </xdr:from>
        <xdr:to>
          <xdr:col>8</xdr:col>
          <xdr:colOff>0</xdr:colOff>
          <xdr:row>464</xdr:row>
          <xdr:rowOff>0</xdr:rowOff>
        </xdr:to>
        <xdr:sp macro="" textlink="">
          <xdr:nvSpPr>
            <xdr:cNvPr id="77939" name="Drop Down 115" hidden="1">
              <a:extLst>
                <a:ext uri="{63B3BB69-23CF-44E3-9099-C40C66FF867C}">
                  <a14:compatExt spid="_x0000_s77939"/>
                </a:ext>
                <a:ext uri="{FF2B5EF4-FFF2-40B4-BE49-F238E27FC236}">
                  <a16:creationId xmlns:a16="http://schemas.microsoft.com/office/drawing/2014/main" id="{00000000-0008-0000-0500-00007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533</xdr:row>
          <xdr:rowOff>0</xdr:rowOff>
        </xdr:from>
        <xdr:to>
          <xdr:col>8</xdr:col>
          <xdr:colOff>0</xdr:colOff>
          <xdr:row>534</xdr:row>
          <xdr:rowOff>0</xdr:rowOff>
        </xdr:to>
        <xdr:sp macro="" textlink="">
          <xdr:nvSpPr>
            <xdr:cNvPr id="77940" name="Drop Down 116" hidden="1">
              <a:extLst>
                <a:ext uri="{63B3BB69-23CF-44E3-9099-C40C66FF867C}">
                  <a14:compatExt spid="_x0000_s77940"/>
                </a:ext>
                <a:ext uri="{FF2B5EF4-FFF2-40B4-BE49-F238E27FC236}">
                  <a16:creationId xmlns:a16="http://schemas.microsoft.com/office/drawing/2014/main" id="{00000000-0008-0000-0500-00007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409575</xdr:colOff>
      <xdr:row>0</xdr:row>
      <xdr:rowOff>57150</xdr:rowOff>
    </xdr:from>
    <xdr:to>
      <xdr:col>3</xdr:col>
      <xdr:colOff>352425</xdr:colOff>
      <xdr:row>1</xdr:row>
      <xdr:rowOff>171450</xdr:rowOff>
    </xdr:to>
    <xdr:sp macro="" textlink="'Translation Table'!$H$24">
      <xdr:nvSpPr>
        <xdr:cNvPr id="2" name="Arrow: Righ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3181350" y="57150"/>
          <a:ext cx="1438275" cy="457200"/>
        </a:xfrm>
        <a:prstGeom prst="rightArrow">
          <a:avLst/>
        </a:prstGeom>
        <a:solidFill>
          <a:srgbClr val="50C9F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155</xdr:row>
      <xdr:rowOff>0</xdr:rowOff>
    </xdr:from>
    <xdr:to>
      <xdr:col>3</xdr:col>
      <xdr:colOff>1</xdr:colOff>
      <xdr:row>156</xdr:row>
      <xdr:rowOff>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29860875"/>
          <a:ext cx="2324101" cy="438150"/>
        </a:xfrm>
        <a:prstGeom prst="rect">
          <a:avLst/>
        </a:prstGeom>
      </xdr:spPr>
    </xdr:pic>
    <xdr:clientData/>
  </xdr:twoCellAnchor>
  <xdr:twoCellAnchor editAs="oneCell">
    <xdr:from>
      <xdr:col>2</xdr:col>
      <xdr:colOff>0</xdr:colOff>
      <xdr:row>156</xdr:row>
      <xdr:rowOff>0</xdr:rowOff>
    </xdr:from>
    <xdr:to>
      <xdr:col>3</xdr:col>
      <xdr:colOff>0</xdr:colOff>
      <xdr:row>157</xdr:row>
      <xdr:rowOff>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4150" y="30299025"/>
          <a:ext cx="2324100" cy="438150"/>
        </a:xfrm>
        <a:prstGeom prst="rect">
          <a:avLst/>
        </a:prstGeom>
      </xdr:spPr>
    </xdr:pic>
    <xdr:clientData/>
  </xdr:twoCellAnchor>
  <xdr:twoCellAnchor editAs="oneCell">
    <xdr:from>
      <xdr:col>2</xdr:col>
      <xdr:colOff>9526</xdr:colOff>
      <xdr:row>154</xdr:row>
      <xdr:rowOff>0</xdr:rowOff>
    </xdr:from>
    <xdr:to>
      <xdr:col>3</xdr:col>
      <xdr:colOff>0</xdr:colOff>
      <xdr:row>155</xdr:row>
      <xdr:rowOff>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1726" y="29041725"/>
          <a:ext cx="2314574" cy="438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1.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2" Type="http://schemas.openxmlformats.org/officeDocument/2006/relationships/drawing" Target="../drawings/drawing6.xml"/><Relationship Id="rId16" Type="http://schemas.openxmlformats.org/officeDocument/2006/relationships/ctrlProp" Target="../ctrlProps/ctrlProp21.xml"/><Relationship Id="rId29" Type="http://schemas.openxmlformats.org/officeDocument/2006/relationships/ctrlProp" Target="../ctrlProps/ctrlProp34.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66" Type="http://schemas.openxmlformats.org/officeDocument/2006/relationships/ctrlProp" Target="../ctrlProps/ctrlProp71.xml"/><Relationship Id="rId74" Type="http://schemas.openxmlformats.org/officeDocument/2006/relationships/ctrlProp" Target="../ctrlProps/ctrlProp79.xml"/><Relationship Id="rId5" Type="http://schemas.openxmlformats.org/officeDocument/2006/relationships/ctrlProp" Target="../ctrlProps/ctrlProp10.xml"/><Relationship Id="rId61" Type="http://schemas.openxmlformats.org/officeDocument/2006/relationships/ctrlProp" Target="../ctrlProps/ctrlProp66.xml"/><Relationship Id="rId19" Type="http://schemas.openxmlformats.org/officeDocument/2006/relationships/ctrlProp" Target="../ctrlProps/ctrlProp2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64" Type="http://schemas.openxmlformats.org/officeDocument/2006/relationships/ctrlProp" Target="../ctrlProps/ctrlProp69.xml"/><Relationship Id="rId69" Type="http://schemas.openxmlformats.org/officeDocument/2006/relationships/ctrlProp" Target="../ctrlProps/ctrlProp74.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3" Type="http://schemas.openxmlformats.org/officeDocument/2006/relationships/vmlDrawing" Target="../drawings/vmlDrawing3.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73" Type="http://schemas.openxmlformats.org/officeDocument/2006/relationships/ctrlProp" Target="../ctrlProps/ctrlProp78.xml"/><Relationship Id="rId4" Type="http://schemas.openxmlformats.org/officeDocument/2006/relationships/ctrlProp" Target="../ctrlProps/ctrlProp9.xml"/><Relationship Id="rId9" Type="http://schemas.openxmlformats.org/officeDocument/2006/relationships/ctrlProp" Target="../ctrlProps/ctrlProp14.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71"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sciencedirect.com/science/article/abs/pii/S001623611300083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574C-EFBB-4E36-A1DF-F5A4027C81B8}">
  <sheetPr>
    <tabColor rgb="FF50C9F5"/>
  </sheetPr>
  <dimension ref="A24:A25"/>
  <sheetViews>
    <sheetView showGridLines="0" zoomScale="50" zoomScaleNormal="50" workbookViewId="0">
      <selection activeCell="O28" sqref="O28"/>
    </sheetView>
  </sheetViews>
  <sheetFormatPr defaultRowHeight="14.5" x14ac:dyDescent="0.35"/>
  <cols>
    <col min="6" max="6" width="15.1796875" customWidth="1"/>
  </cols>
  <sheetData>
    <row r="24" spans="1:1" ht="16.399999999999999" customHeight="1" x14ac:dyDescent="0.35"/>
    <row r="25" spans="1:1" x14ac:dyDescent="0.35">
      <c r="A25" s="166" t="str">
        <f ca="1">'Translation Table'!H4</f>
        <v>Prepared for US Environmental Protection Agency by Tetra Tech and Clearstone Engineering Ltd.</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A9B5"/>
  </sheetPr>
  <dimension ref="A2:P83"/>
  <sheetViews>
    <sheetView showGridLines="0" workbookViewId="0">
      <selection activeCell="A2" sqref="A2"/>
    </sheetView>
  </sheetViews>
  <sheetFormatPr defaultColWidth="9.1796875" defaultRowHeight="14" x14ac:dyDescent="0.3"/>
  <cols>
    <col min="1" max="1" width="20.81640625" style="41" bestFit="1" customWidth="1"/>
    <col min="2" max="2" width="40.81640625" style="41" customWidth="1"/>
    <col min="3" max="3" width="39.81640625" style="41" customWidth="1"/>
    <col min="4" max="4" width="40" style="41" customWidth="1"/>
    <col min="5" max="5" width="40.453125" style="41" customWidth="1"/>
    <col min="6" max="16384" width="9.1796875" style="41"/>
  </cols>
  <sheetData>
    <row r="2" spans="1:16" s="45" customFormat="1" ht="25.5" customHeight="1" x14ac:dyDescent="0.35">
      <c r="A2" s="102" t="str">
        <f ca="1">'Translation Table'!H649</f>
        <v>List</v>
      </c>
      <c r="B2" s="102" t="str">
        <f ca="1">'Translation Table'!H650</f>
        <v>Valid Options (Active)</v>
      </c>
      <c r="C2" s="102" t="str">
        <f>'Translation Table'!I651 &amp; ""</f>
        <v>Valid Options</v>
      </c>
      <c r="D2" s="103" t="str">
        <f>'Translation Table'!J651 &amp; ""</f>
        <v>有效选项</v>
      </c>
      <c r="E2" s="104" t="str">
        <f>'Translation Table'!K651 &amp; ""</f>
        <v>Opciones Válidas</v>
      </c>
      <c r="F2" s="45" t="str">
        <f>'Translation Table'!L651 &amp; ""</f>
        <v/>
      </c>
      <c r="G2" s="45" t="str">
        <f>'Translation Table'!M651 &amp; ""</f>
        <v/>
      </c>
      <c r="H2" s="45" t="str">
        <f>'Translation Table'!N651 &amp; ""</f>
        <v/>
      </c>
      <c r="I2" s="45" t="str">
        <f>'Translation Table'!O651 &amp; ""</f>
        <v/>
      </c>
      <c r="J2" s="45" t="str">
        <f>'Translation Table'!P651 &amp; ""</f>
        <v/>
      </c>
      <c r="K2" s="45" t="str">
        <f>'Translation Table'!Q651 &amp; ""</f>
        <v/>
      </c>
      <c r="L2" s="45" t="str">
        <f>'Translation Table'!R651 &amp; ""</f>
        <v/>
      </c>
      <c r="M2" s="45" t="str">
        <f>'Translation Table'!S651 &amp; ""</f>
        <v/>
      </c>
      <c r="N2" s="45" t="str">
        <f>'Translation Table'!T651 &amp; ""</f>
        <v/>
      </c>
      <c r="O2" s="45" t="str">
        <f>'Translation Table'!U651 &amp; ""</f>
        <v/>
      </c>
      <c r="P2" s="45" t="str">
        <f>'Translation Table'!V651 &amp; ""</f>
        <v/>
      </c>
    </row>
    <row r="3" spans="1:16" x14ac:dyDescent="0.3">
      <c r="A3" s="86" t="str">
        <f ca="1">'Translation Table'!H652</f>
        <v>Industry Segment</v>
      </c>
      <c r="B3" s="86"/>
      <c r="C3" s="86"/>
      <c r="D3" s="90"/>
      <c r="E3" s="86"/>
      <c r="F3" s="41" t="str">
        <f>'Translation Table'!L653 &amp; ""</f>
        <v/>
      </c>
      <c r="G3" s="41" t="str">
        <f>'Translation Table'!M653 &amp; ""</f>
        <v/>
      </c>
      <c r="H3" s="41" t="str">
        <f>'Translation Table'!N653 &amp; ""</f>
        <v/>
      </c>
      <c r="I3" s="41" t="str">
        <f>'Translation Table'!O653 &amp; ""</f>
        <v/>
      </c>
      <c r="J3" s="41" t="str">
        <f>'Translation Table'!P653 &amp; ""</f>
        <v/>
      </c>
      <c r="K3" s="41" t="str">
        <f>'Translation Table'!Q653 &amp; ""</f>
        <v/>
      </c>
      <c r="L3" s="41" t="str">
        <f>'Translation Table'!R653 &amp; ""</f>
        <v/>
      </c>
      <c r="M3" s="41" t="str">
        <f>'Translation Table'!S653 &amp; ""</f>
        <v/>
      </c>
      <c r="N3" s="41" t="str">
        <f>'Translation Table'!T653 &amp; ""</f>
        <v/>
      </c>
      <c r="O3" s="41" t="str">
        <f>'Translation Table'!U653 &amp; ""</f>
        <v/>
      </c>
      <c r="P3" s="41" t="str">
        <f>'Translation Table'!V653 &amp; ""</f>
        <v/>
      </c>
    </row>
    <row r="4" spans="1:16" x14ac:dyDescent="0.3">
      <c r="A4" s="43"/>
      <c r="B4" s="43" t="str">
        <f ca="1">INDIRECT(CHAR(64+'Translation Table'!$D$1-6)&amp;ROW())</f>
        <v>Onshore Production</v>
      </c>
      <c r="C4" s="43" t="str">
        <f>'Translation Table'!I653</f>
        <v>Onshore Production</v>
      </c>
      <c r="D4" s="82" t="str">
        <f>'Translation Table'!J653 &amp; ""</f>
        <v>生产</v>
      </c>
      <c r="E4" s="43" t="str">
        <f>'Translation Table'!K653 &amp; ""</f>
        <v>Producción</v>
      </c>
      <c r="F4" s="41" t="str">
        <f>'Translation Table'!L653 &amp; ""</f>
        <v/>
      </c>
      <c r="G4" s="41" t="str">
        <f>'Translation Table'!M653 &amp; ""</f>
        <v/>
      </c>
      <c r="H4" s="41" t="str">
        <f>'Translation Table'!N653 &amp; ""</f>
        <v/>
      </c>
      <c r="I4" s="41" t="str">
        <f>'Translation Table'!O653 &amp; ""</f>
        <v/>
      </c>
      <c r="J4" s="41" t="str">
        <f>'Translation Table'!P653 &amp; ""</f>
        <v/>
      </c>
      <c r="K4" s="41" t="str">
        <f>'Translation Table'!Q653 &amp; ""</f>
        <v/>
      </c>
      <c r="L4" s="41" t="str">
        <f>'Translation Table'!R653 &amp; ""</f>
        <v/>
      </c>
      <c r="M4" s="41" t="str">
        <f>'Translation Table'!S653 &amp; ""</f>
        <v/>
      </c>
      <c r="N4" s="41" t="str">
        <f>'Translation Table'!T653 &amp; ""</f>
        <v/>
      </c>
      <c r="O4" s="41" t="str">
        <f>'Translation Table'!U653 &amp; ""</f>
        <v/>
      </c>
      <c r="P4" s="41" t="str">
        <f>'Translation Table'!V653 &amp; ""</f>
        <v/>
      </c>
    </row>
    <row r="5" spans="1:16" x14ac:dyDescent="0.3">
      <c r="A5" s="86"/>
      <c r="B5" s="86" t="str">
        <f ca="1">INDIRECT(CHAR(64+'Translation Table'!$D$1-6)&amp;ROW())</f>
        <v>Offshore Production</v>
      </c>
      <c r="C5" s="86" t="str">
        <f>'Translation Table'!I654</f>
        <v>Offshore Production</v>
      </c>
      <c r="D5" s="90" t="str">
        <f>'Translation Table'!J654 &amp; ""</f>
        <v>生产</v>
      </c>
      <c r="E5" s="86" t="str">
        <f>'Translation Table'!K654 &amp; ""</f>
        <v>Producción</v>
      </c>
    </row>
    <row r="6" spans="1:16" x14ac:dyDescent="0.3">
      <c r="A6" s="43"/>
      <c r="B6" s="43" t="str">
        <f ca="1">INDIRECT(CHAR(64+'Translation Table'!$D$1-6)&amp;ROW())</f>
        <v>Gas Processing</v>
      </c>
      <c r="C6" s="43" t="str">
        <f>'Translation Table'!I655</f>
        <v>Gas Processing</v>
      </c>
      <c r="D6" s="82" t="str">
        <f>'Translation Table'!J655 &amp; ""</f>
        <v>气体加工处理</v>
      </c>
      <c r="E6" s="43" t="str">
        <f>'Translation Table'!K655 &amp; ""</f>
        <v>Proceso de Gas</v>
      </c>
      <c r="F6" s="41" t="str">
        <f>'Translation Table'!L655 &amp; ""</f>
        <v/>
      </c>
      <c r="G6" s="41" t="str">
        <f>'Translation Table'!M655 &amp; ""</f>
        <v/>
      </c>
      <c r="H6" s="41" t="str">
        <f>'Translation Table'!N655 &amp; ""</f>
        <v/>
      </c>
      <c r="I6" s="41" t="str">
        <f>'Translation Table'!O655 &amp; ""</f>
        <v/>
      </c>
      <c r="J6" s="41" t="str">
        <f>'Translation Table'!P655 &amp; ""</f>
        <v/>
      </c>
      <c r="K6" s="41" t="str">
        <f>'Translation Table'!Q655 &amp; ""</f>
        <v/>
      </c>
      <c r="L6" s="41" t="str">
        <f>'Translation Table'!R655 &amp; ""</f>
        <v/>
      </c>
      <c r="M6" s="41" t="str">
        <f>'Translation Table'!S655 &amp; ""</f>
        <v/>
      </c>
      <c r="N6" s="41" t="str">
        <f>'Translation Table'!T655 &amp; ""</f>
        <v/>
      </c>
      <c r="O6" s="41" t="str">
        <f>'Translation Table'!U655 &amp; ""</f>
        <v/>
      </c>
      <c r="P6" s="41" t="str">
        <f>'Translation Table'!V655 &amp; ""</f>
        <v/>
      </c>
    </row>
    <row r="7" spans="1:16" x14ac:dyDescent="0.3">
      <c r="A7" s="86"/>
      <c r="B7" s="86" t="str">
        <f ca="1">INDIRECT(CHAR(64+'Translation Table'!$D$1-6)&amp;ROW())</f>
        <v>Gas Transmission</v>
      </c>
      <c r="C7" s="86" t="str">
        <f>'Translation Table'!I656</f>
        <v>Gas Transmission</v>
      </c>
      <c r="D7" s="90" t="str">
        <f>'Translation Table'!J656 &amp; ""</f>
        <v>气体輸送</v>
      </c>
      <c r="E7" s="86" t="str">
        <f>'Translation Table'!K656 &amp; ""</f>
        <v>Transporte de Gas</v>
      </c>
      <c r="F7" s="41" t="str">
        <f>'Translation Table'!L656 &amp; ""</f>
        <v/>
      </c>
      <c r="G7" s="41" t="str">
        <f>'Translation Table'!M656 &amp; ""</f>
        <v/>
      </c>
      <c r="H7" s="41" t="str">
        <f>'Translation Table'!N656 &amp; ""</f>
        <v/>
      </c>
      <c r="I7" s="41" t="str">
        <f>'Translation Table'!O656 &amp; ""</f>
        <v/>
      </c>
      <c r="J7" s="41" t="str">
        <f>'Translation Table'!P656 &amp; ""</f>
        <v/>
      </c>
      <c r="K7" s="41" t="str">
        <f>'Translation Table'!Q656 &amp; ""</f>
        <v/>
      </c>
      <c r="L7" s="41" t="str">
        <f>'Translation Table'!R656 &amp; ""</f>
        <v/>
      </c>
      <c r="M7" s="41" t="str">
        <f>'Translation Table'!S656 &amp; ""</f>
        <v/>
      </c>
      <c r="N7" s="41" t="str">
        <f>'Translation Table'!T656 &amp; ""</f>
        <v/>
      </c>
      <c r="O7" s="41" t="str">
        <f>'Translation Table'!U656 &amp; ""</f>
        <v/>
      </c>
      <c r="P7" s="41" t="str">
        <f>'Translation Table'!V656 &amp; ""</f>
        <v/>
      </c>
    </row>
    <row r="8" spans="1:16" x14ac:dyDescent="0.3">
      <c r="A8" s="43"/>
      <c r="B8" s="43" t="str">
        <f ca="1">INDIRECT(CHAR(64+'Translation Table'!$D$1-6)&amp;ROW())</f>
        <v>Gas Storage</v>
      </c>
      <c r="C8" s="43" t="str">
        <f>'Translation Table'!I657</f>
        <v>Gas Storage</v>
      </c>
      <c r="D8" s="82" t="str">
        <f>'Translation Table'!J657 &amp; ""</f>
        <v>气体储存</v>
      </c>
      <c r="E8" s="43" t="str">
        <f>'Translation Table'!K657 &amp; ""</f>
        <v>Almacenamiento de Gas</v>
      </c>
      <c r="F8" s="41" t="str">
        <f>'Translation Table'!L657 &amp; ""</f>
        <v/>
      </c>
      <c r="G8" s="41" t="str">
        <f>'Translation Table'!M657 &amp; ""</f>
        <v/>
      </c>
      <c r="H8" s="41" t="str">
        <f>'Translation Table'!N657 &amp; ""</f>
        <v/>
      </c>
      <c r="I8" s="41" t="str">
        <f>'Translation Table'!O657 &amp; ""</f>
        <v/>
      </c>
      <c r="J8" s="41" t="str">
        <f>'Translation Table'!P657 &amp; ""</f>
        <v/>
      </c>
      <c r="K8" s="41" t="str">
        <f>'Translation Table'!Q657 &amp; ""</f>
        <v/>
      </c>
      <c r="L8" s="41" t="str">
        <f>'Translation Table'!R657 &amp; ""</f>
        <v/>
      </c>
      <c r="M8" s="41" t="str">
        <f>'Translation Table'!S657 &amp; ""</f>
        <v/>
      </c>
      <c r="N8" s="41" t="str">
        <f>'Translation Table'!T657 &amp; ""</f>
        <v/>
      </c>
      <c r="O8" s="41" t="str">
        <f>'Translation Table'!U657 &amp; ""</f>
        <v/>
      </c>
      <c r="P8" s="41" t="str">
        <f>'Translation Table'!V657 &amp; ""</f>
        <v/>
      </c>
    </row>
    <row r="9" spans="1:16" x14ac:dyDescent="0.3">
      <c r="A9" s="86"/>
      <c r="B9" s="86" t="str">
        <f ca="1">INDIRECT(CHAR(64+'Translation Table'!$D$1-6)&amp;ROW())</f>
        <v>Gas Distribution</v>
      </c>
      <c r="C9" s="86" t="str">
        <f>'Translation Table'!I658</f>
        <v>Gas Distribution</v>
      </c>
      <c r="D9" s="90" t="str">
        <f>'Translation Table'!J658 &amp; ""</f>
        <v>气体分配</v>
      </c>
      <c r="E9" s="86" t="str">
        <f>'Translation Table'!K658 &amp; ""</f>
        <v>Distribución de Gas</v>
      </c>
      <c r="F9" s="41" t="str">
        <f>'Translation Table'!L658 &amp; ""</f>
        <v/>
      </c>
      <c r="G9" s="41" t="str">
        <f>'Translation Table'!M658 &amp; ""</f>
        <v/>
      </c>
      <c r="H9" s="41" t="str">
        <f>'Translation Table'!N658 &amp; ""</f>
        <v/>
      </c>
      <c r="I9" s="41" t="str">
        <f>'Translation Table'!O658 &amp; ""</f>
        <v/>
      </c>
      <c r="J9" s="41" t="str">
        <f>'Translation Table'!P658 &amp; ""</f>
        <v/>
      </c>
      <c r="K9" s="41" t="str">
        <f>'Translation Table'!Q658 &amp; ""</f>
        <v/>
      </c>
      <c r="L9" s="41" t="str">
        <f>'Translation Table'!R658 &amp; ""</f>
        <v/>
      </c>
      <c r="M9" s="41" t="str">
        <f>'Translation Table'!S658 &amp; ""</f>
        <v/>
      </c>
      <c r="N9" s="41" t="str">
        <f>'Translation Table'!T658 &amp; ""</f>
        <v/>
      </c>
      <c r="O9" s="41" t="str">
        <f>'Translation Table'!U658 &amp; ""</f>
        <v/>
      </c>
      <c r="P9" s="41" t="str">
        <f>'Translation Table'!V658 &amp; ""</f>
        <v/>
      </c>
    </row>
    <row r="10" spans="1:16" x14ac:dyDescent="0.3">
      <c r="A10" s="43" t="str">
        <f ca="1">'Translation Table'!H659</f>
        <v>Dehydrator Types</v>
      </c>
      <c r="B10" s="43"/>
      <c r="C10" s="43"/>
      <c r="D10" s="82"/>
      <c r="E10" s="43"/>
    </row>
    <row r="11" spans="1:16" x14ac:dyDescent="0.3">
      <c r="A11" s="86"/>
      <c r="B11" s="86" t="str">
        <f ca="1">INDIRECT(CHAR(64+'Translation Table'!$D$1-6)&amp;ROW())</f>
        <v>Without Gas-Assisted Pump Emissions</v>
      </c>
      <c r="C11" s="86" t="str">
        <f>'Translation Table'!I660</f>
        <v>Without Gas-Assisted Pump Emissions</v>
      </c>
      <c r="D11" s="90" t="str">
        <f>'Translation Table'!J660 &amp; ""</f>
        <v>无气体辅助泵排放</v>
      </c>
      <c r="E11" s="86" t="str">
        <f>'Translation Table'!K660 &amp; ""</f>
        <v>Emisiones sin Bomba Asistida a Gas</v>
      </c>
      <c r="F11" s="41" t="str">
        <f>'Translation Table'!L660 &amp; ""</f>
        <v/>
      </c>
      <c r="G11" s="41" t="str">
        <f>'Translation Table'!M660 &amp; ""</f>
        <v/>
      </c>
      <c r="H11" s="41" t="str">
        <f>'Translation Table'!N660 &amp; ""</f>
        <v/>
      </c>
      <c r="I11" s="41" t="str">
        <f>'Translation Table'!O660 &amp; ""</f>
        <v/>
      </c>
      <c r="J11" s="41" t="str">
        <f>'Translation Table'!P660 &amp; ""</f>
        <v/>
      </c>
      <c r="K11" s="41" t="str">
        <f>'Translation Table'!Q660 &amp; ""</f>
        <v/>
      </c>
      <c r="L11" s="41" t="str">
        <f>'Translation Table'!R660 &amp; ""</f>
        <v/>
      </c>
      <c r="M11" s="41" t="str">
        <f>'Translation Table'!S660 &amp; ""</f>
        <v/>
      </c>
      <c r="N11" s="41" t="str">
        <f>'Translation Table'!T660 &amp; ""</f>
        <v/>
      </c>
      <c r="O11" s="41" t="str">
        <f>'Translation Table'!U660 &amp; ""</f>
        <v/>
      </c>
      <c r="P11" s="41" t="str">
        <f>'Translation Table'!V660 &amp; ""</f>
        <v/>
      </c>
    </row>
    <row r="12" spans="1:16" x14ac:dyDescent="0.3">
      <c r="A12" s="43"/>
      <c r="B12" s="43" t="str">
        <f ca="1">INDIRECT(CHAR(64+'Translation Table'!$D$1-6)&amp;ROW())</f>
        <v>With Gas-Assisted Pump Emissions</v>
      </c>
      <c r="C12" s="43" t="str">
        <f>'Translation Table'!I661</f>
        <v>With Gas-Assisted Pump Emissions</v>
      </c>
      <c r="D12" s="82" t="str">
        <f>'Translation Table'!J661 &amp; ""</f>
        <v>有气体辅助泵排放</v>
      </c>
      <c r="E12" s="43" t="str">
        <f>'Translation Table'!K661 &amp; ""</f>
        <v>Emisiones con Bomba Asistida a Gas</v>
      </c>
      <c r="F12" s="41" t="str">
        <f>'Translation Table'!L661 &amp; ""</f>
        <v/>
      </c>
      <c r="G12" s="41" t="str">
        <f>'Translation Table'!M661 &amp; ""</f>
        <v/>
      </c>
      <c r="H12" s="41" t="str">
        <f>'Translation Table'!N661 &amp; ""</f>
        <v/>
      </c>
      <c r="I12" s="41" t="str">
        <f>'Translation Table'!O661 &amp; ""</f>
        <v/>
      </c>
      <c r="J12" s="41" t="str">
        <f>'Translation Table'!P661 &amp; ""</f>
        <v/>
      </c>
      <c r="K12" s="41" t="str">
        <f>'Translation Table'!Q661 &amp; ""</f>
        <v/>
      </c>
      <c r="L12" s="41" t="str">
        <f>'Translation Table'!R661 &amp; ""</f>
        <v/>
      </c>
      <c r="M12" s="41" t="str">
        <f>'Translation Table'!S661 &amp; ""</f>
        <v/>
      </c>
      <c r="N12" s="41" t="str">
        <f>'Translation Table'!T661 &amp; ""</f>
        <v/>
      </c>
      <c r="O12" s="41" t="str">
        <f>'Translation Table'!U661 &amp; ""</f>
        <v/>
      </c>
      <c r="P12" s="41" t="str">
        <f>'Translation Table'!V661 &amp; ""</f>
        <v/>
      </c>
    </row>
    <row r="13" spans="1:16" x14ac:dyDescent="0.3">
      <c r="A13" s="86" t="str">
        <f ca="1">'Translation Table'!H662</f>
        <v>Pneumatic Supply Gas</v>
      </c>
      <c r="B13" s="86"/>
      <c r="C13" s="86"/>
      <c r="D13" s="90"/>
      <c r="E13" s="86"/>
    </row>
    <row r="14" spans="1:16" x14ac:dyDescent="0.3">
      <c r="A14" s="43"/>
      <c r="B14" s="43" t="str">
        <f ca="1">INDIRECT(CHAR(64+'Translation Table'!$D$1-6)&amp;ROW())</f>
        <v>Compressed Air</v>
      </c>
      <c r="C14" s="43" t="str">
        <f>'Translation Table'!I663</f>
        <v>Compressed Air</v>
      </c>
      <c r="D14" s="82" t="str">
        <f>'Translation Table'!J663 &amp; ""</f>
        <v>压缩空气</v>
      </c>
      <c r="E14" s="43" t="str">
        <f>'Translation Table'!K663 &amp; ""</f>
        <v>Aire comprimido</v>
      </c>
      <c r="F14" s="41" t="str">
        <f>'Translation Table'!L663 &amp; ""</f>
        <v/>
      </c>
      <c r="G14" s="41" t="str">
        <f>'Translation Table'!M663 &amp; ""</f>
        <v/>
      </c>
      <c r="H14" s="41" t="str">
        <f>'Translation Table'!N663 &amp; ""</f>
        <v/>
      </c>
      <c r="I14" s="41" t="str">
        <f>'Translation Table'!O663 &amp; ""</f>
        <v/>
      </c>
      <c r="J14" s="41" t="str">
        <f>'Translation Table'!P663 &amp; ""</f>
        <v/>
      </c>
      <c r="K14" s="41" t="str">
        <f>'Translation Table'!Q663 &amp; ""</f>
        <v/>
      </c>
      <c r="L14" s="41" t="str">
        <f>'Translation Table'!R663 &amp; ""</f>
        <v/>
      </c>
      <c r="M14" s="41" t="str">
        <f>'Translation Table'!S663 &amp; ""</f>
        <v/>
      </c>
      <c r="N14" s="41" t="str">
        <f>'Translation Table'!T663 &amp; ""</f>
        <v/>
      </c>
      <c r="O14" s="41" t="str">
        <f>'Translation Table'!U663 &amp; ""</f>
        <v/>
      </c>
      <c r="P14" s="41" t="str">
        <f>'Translation Table'!V663 &amp; ""</f>
        <v/>
      </c>
    </row>
    <row r="15" spans="1:16" x14ac:dyDescent="0.3">
      <c r="A15" s="86"/>
      <c r="B15" s="86" t="str">
        <f ca="1">INDIRECT(CHAR(64+'Translation Table'!$D$1-6)&amp;ROW())</f>
        <v>Natural Gas</v>
      </c>
      <c r="C15" s="86" t="str">
        <f>'Translation Table'!I664</f>
        <v>Natural Gas</v>
      </c>
      <c r="D15" s="90" t="str">
        <f>'Translation Table'!J664 &amp; ""</f>
        <v>天然气</v>
      </c>
      <c r="E15" s="86" t="str">
        <f>'Translation Table'!K664 &amp; ""</f>
        <v>Gas Natural</v>
      </c>
      <c r="F15" s="41" t="str">
        <f>'Translation Table'!L664 &amp; ""</f>
        <v/>
      </c>
      <c r="G15" s="41" t="str">
        <f>'Translation Table'!M664 &amp; ""</f>
        <v/>
      </c>
      <c r="H15" s="41" t="str">
        <f>'Translation Table'!N664 &amp; ""</f>
        <v/>
      </c>
      <c r="I15" s="41" t="str">
        <f>'Translation Table'!O664 &amp; ""</f>
        <v/>
      </c>
      <c r="J15" s="41" t="str">
        <f>'Translation Table'!P664 &amp; ""</f>
        <v/>
      </c>
      <c r="K15" s="41" t="str">
        <f>'Translation Table'!Q664 &amp; ""</f>
        <v/>
      </c>
      <c r="L15" s="41" t="str">
        <f>'Translation Table'!R664 &amp; ""</f>
        <v/>
      </c>
      <c r="M15" s="41" t="str">
        <f>'Translation Table'!S664 &amp; ""</f>
        <v/>
      </c>
      <c r="N15" s="41" t="str">
        <f>'Translation Table'!T664 &amp; ""</f>
        <v/>
      </c>
      <c r="O15" s="41" t="str">
        <f>'Translation Table'!U664 &amp; ""</f>
        <v/>
      </c>
      <c r="P15" s="41" t="str">
        <f>'Translation Table'!V664 &amp; ""</f>
        <v/>
      </c>
    </row>
    <row r="16" spans="1:16" x14ac:dyDescent="0.3">
      <c r="A16" s="43" t="str">
        <f ca="1">'Translation Table'!H665</f>
        <v>Hydrocarbon Liquids</v>
      </c>
      <c r="B16" s="43"/>
      <c r="C16" s="43"/>
      <c r="D16" s="82"/>
      <c r="E16" s="43"/>
    </row>
    <row r="17" spans="1:16" x14ac:dyDescent="0.3">
      <c r="A17" s="86"/>
      <c r="B17" s="86" t="str">
        <f ca="1">INDIRECT(CHAR(64+'Translation Table'!$D$1-6)&amp;ROW())</f>
        <v>Light</v>
      </c>
      <c r="C17" s="86" t="str">
        <f>'Translation Table'!I666</f>
        <v>Light</v>
      </c>
      <c r="D17" s="90" t="str">
        <f>'Translation Table'!J666 &amp; ""</f>
        <v>轻质</v>
      </c>
      <c r="E17" s="86" t="str">
        <f>'Translation Table'!K666 &amp; ""</f>
        <v>Ligero</v>
      </c>
      <c r="F17" s="41" t="str">
        <f>'Translation Table'!L666 &amp; ""</f>
        <v/>
      </c>
      <c r="G17" s="41" t="str">
        <f>'Translation Table'!M666 &amp; ""</f>
        <v/>
      </c>
      <c r="H17" s="41" t="str">
        <f>'Translation Table'!N666 &amp; ""</f>
        <v/>
      </c>
      <c r="I17" s="41" t="str">
        <f>'Translation Table'!O666 &amp; ""</f>
        <v/>
      </c>
      <c r="J17" s="41" t="str">
        <f>'Translation Table'!P666 &amp; ""</f>
        <v/>
      </c>
      <c r="K17" s="41" t="str">
        <f>'Translation Table'!Q666 &amp; ""</f>
        <v/>
      </c>
      <c r="L17" s="41" t="str">
        <f>'Translation Table'!R666 &amp; ""</f>
        <v/>
      </c>
      <c r="M17" s="41" t="str">
        <f>'Translation Table'!S666 &amp; ""</f>
        <v/>
      </c>
      <c r="N17" s="41" t="str">
        <f>'Translation Table'!T666 &amp; ""</f>
        <v/>
      </c>
      <c r="O17" s="41" t="str">
        <f>'Translation Table'!U666 &amp; ""</f>
        <v/>
      </c>
      <c r="P17" s="41" t="str">
        <f>'Translation Table'!V666 &amp; ""</f>
        <v/>
      </c>
    </row>
    <row r="18" spans="1:16" x14ac:dyDescent="0.3">
      <c r="A18" s="43"/>
      <c r="B18" s="43" t="str">
        <f ca="1">INDIRECT(CHAR(64+'Translation Table'!$D$1-6)&amp;ROW())</f>
        <v>Medium</v>
      </c>
      <c r="C18" s="43" t="str">
        <f>'Translation Table'!I667</f>
        <v>Medium</v>
      </c>
      <c r="D18" s="82" t="str">
        <f>'Translation Table'!J667 &amp; ""</f>
        <v>中等</v>
      </c>
      <c r="E18" s="43" t="str">
        <f>'Translation Table'!K667 &amp; ""</f>
        <v>Medio</v>
      </c>
      <c r="F18" s="41" t="str">
        <f>'Translation Table'!L667 &amp; ""</f>
        <v/>
      </c>
      <c r="G18" s="41" t="str">
        <f>'Translation Table'!M667 &amp; ""</f>
        <v/>
      </c>
      <c r="H18" s="41" t="str">
        <f>'Translation Table'!N667 &amp; ""</f>
        <v/>
      </c>
      <c r="I18" s="41" t="str">
        <f>'Translation Table'!O667 &amp; ""</f>
        <v/>
      </c>
      <c r="J18" s="41" t="str">
        <f>'Translation Table'!P667 &amp; ""</f>
        <v/>
      </c>
      <c r="K18" s="41" t="str">
        <f>'Translation Table'!Q667 &amp; ""</f>
        <v/>
      </c>
      <c r="L18" s="41" t="str">
        <f>'Translation Table'!R667 &amp; ""</f>
        <v/>
      </c>
      <c r="M18" s="41" t="str">
        <f>'Translation Table'!S667 &amp; ""</f>
        <v/>
      </c>
      <c r="N18" s="41" t="str">
        <f>'Translation Table'!T667 &amp; ""</f>
        <v/>
      </c>
      <c r="O18" s="41" t="str">
        <f>'Translation Table'!U667 &amp; ""</f>
        <v/>
      </c>
      <c r="P18" s="41" t="str">
        <f>'Translation Table'!V667 &amp; ""</f>
        <v/>
      </c>
    </row>
    <row r="19" spans="1:16" x14ac:dyDescent="0.3">
      <c r="A19" s="86"/>
      <c r="B19" s="86" t="str">
        <f ca="1">INDIRECT(CHAR(64+'Translation Table'!$D$1-6)&amp;ROW())</f>
        <v>Heavy</v>
      </c>
      <c r="C19" s="86" t="str">
        <f>'Translation Table'!I668</f>
        <v>Heavy</v>
      </c>
      <c r="D19" s="90" t="str">
        <f>'Translation Table'!J668 &amp; ""</f>
        <v>重质</v>
      </c>
      <c r="E19" s="86" t="str">
        <f>'Translation Table'!K668 &amp; ""</f>
        <v>Pesado</v>
      </c>
      <c r="F19" s="41" t="str">
        <f>'Translation Table'!L668 &amp; ""</f>
        <v/>
      </c>
      <c r="G19" s="41" t="str">
        <f>'Translation Table'!M668 &amp; ""</f>
        <v/>
      </c>
      <c r="H19" s="41" t="str">
        <f>'Translation Table'!N668 &amp; ""</f>
        <v/>
      </c>
      <c r="I19" s="41" t="str">
        <f>'Translation Table'!O668 &amp; ""</f>
        <v/>
      </c>
      <c r="J19" s="41" t="str">
        <f>'Translation Table'!P668 &amp; ""</f>
        <v/>
      </c>
      <c r="K19" s="41" t="str">
        <f>'Translation Table'!Q668 &amp; ""</f>
        <v/>
      </c>
      <c r="L19" s="41" t="str">
        <f>'Translation Table'!R668 &amp; ""</f>
        <v/>
      </c>
      <c r="M19" s="41" t="str">
        <f>'Translation Table'!S668 &amp; ""</f>
        <v/>
      </c>
      <c r="N19" s="41" t="str">
        <f>'Translation Table'!T668 &amp; ""</f>
        <v/>
      </c>
      <c r="O19" s="41" t="str">
        <f>'Translation Table'!U668 &amp; ""</f>
        <v/>
      </c>
      <c r="P19" s="41" t="str">
        <f>'Translation Table'!V668 &amp; ""</f>
        <v/>
      </c>
    </row>
    <row r="20" spans="1:16" x14ac:dyDescent="0.3">
      <c r="A20" s="43"/>
      <c r="B20" s="43" t="str">
        <f ca="1">INDIRECT(CHAR(64+'Translation Table'!$D$1-6)&amp;ROW())</f>
        <v>Very Heavy</v>
      </c>
      <c r="C20" s="43" t="str">
        <f>'Translation Table'!I669</f>
        <v>Very Heavy</v>
      </c>
      <c r="D20" s="82" t="str">
        <f>'Translation Table'!J669 &amp; ""</f>
        <v>非常重</v>
      </c>
      <c r="E20" s="43" t="str">
        <f>'Translation Table'!K669 &amp; ""</f>
        <v>Muy Pesado</v>
      </c>
      <c r="F20" s="41" t="str">
        <f>'Translation Table'!L669 &amp; ""</f>
        <v/>
      </c>
      <c r="G20" s="41" t="str">
        <f>'Translation Table'!M669 &amp; ""</f>
        <v/>
      </c>
      <c r="H20" s="41" t="str">
        <f>'Translation Table'!N669 &amp; ""</f>
        <v/>
      </c>
      <c r="I20" s="41" t="str">
        <f>'Translation Table'!O669 &amp; ""</f>
        <v/>
      </c>
      <c r="J20" s="41" t="str">
        <f>'Translation Table'!P669 &amp; ""</f>
        <v/>
      </c>
      <c r="K20" s="41" t="str">
        <f>'Translation Table'!Q669 &amp; ""</f>
        <v/>
      </c>
      <c r="L20" s="41" t="str">
        <f>'Translation Table'!R669 &amp; ""</f>
        <v/>
      </c>
      <c r="M20" s="41" t="str">
        <f>'Translation Table'!S669 &amp; ""</f>
        <v/>
      </c>
      <c r="N20" s="41" t="str">
        <f>'Translation Table'!T669 &amp; ""</f>
        <v/>
      </c>
      <c r="O20" s="41" t="str">
        <f>'Translation Table'!U669 &amp; ""</f>
        <v/>
      </c>
      <c r="P20" s="41" t="str">
        <f>'Translation Table'!V669 &amp; ""</f>
        <v/>
      </c>
    </row>
    <row r="21" spans="1:16" x14ac:dyDescent="0.3">
      <c r="A21" s="86" t="str">
        <f ca="1">'Translation Table'!H670</f>
        <v>Type of Controllers</v>
      </c>
      <c r="B21" s="86"/>
      <c r="C21" s="86"/>
      <c r="D21" s="90"/>
      <c r="E21" s="86"/>
    </row>
    <row r="22" spans="1:16" x14ac:dyDescent="0.3">
      <c r="A22" s="43"/>
      <c r="B22" s="43" t="str">
        <f ca="1">INDIRECT(CHAR(64+'Translation Table'!$D$1-6)&amp;ROW())</f>
        <v>Not Applicable</v>
      </c>
      <c r="C22" s="43" t="str">
        <f>'Translation Table'!I671</f>
        <v>Not Applicable</v>
      </c>
      <c r="D22" s="82" t="str">
        <f>'Translation Table'!J671 &amp; ""</f>
        <v>不适用</v>
      </c>
      <c r="E22" s="43" t="str">
        <f>'Translation Table'!K671 &amp; ""</f>
        <v>No Aplicable</v>
      </c>
      <c r="F22" s="41" t="str">
        <f>'Translation Table'!L671 &amp; ""</f>
        <v/>
      </c>
      <c r="G22" s="41" t="str">
        <f>'Translation Table'!M671 &amp; ""</f>
        <v/>
      </c>
      <c r="H22" s="41" t="str">
        <f>'Translation Table'!N671 &amp; ""</f>
        <v/>
      </c>
      <c r="I22" s="41" t="str">
        <f>'Translation Table'!O671 &amp; ""</f>
        <v/>
      </c>
      <c r="J22" s="41" t="str">
        <f>'Translation Table'!P671 &amp; ""</f>
        <v/>
      </c>
      <c r="K22" s="41" t="str">
        <f>'Translation Table'!Q671 &amp; ""</f>
        <v/>
      </c>
      <c r="L22" s="41" t="str">
        <f>'Translation Table'!R671 &amp; ""</f>
        <v/>
      </c>
      <c r="M22" s="41" t="str">
        <f>'Translation Table'!S671 &amp; ""</f>
        <v/>
      </c>
      <c r="N22" s="41" t="str">
        <f>'Translation Table'!T671 &amp; ""</f>
        <v/>
      </c>
      <c r="O22" s="41" t="str">
        <f>'Translation Table'!U671 &amp; ""</f>
        <v/>
      </c>
      <c r="P22" s="41" t="str">
        <f>'Translation Table'!V671 &amp; ""</f>
        <v/>
      </c>
    </row>
    <row r="23" spans="1:16" x14ac:dyDescent="0.3">
      <c r="A23" s="86"/>
      <c r="B23" s="86" t="str">
        <f ca="1">INDIRECT(CHAR(64+'Translation Table'!$D$1-6)&amp;ROW())</f>
        <v>Low-Bleed</v>
      </c>
      <c r="C23" s="86" t="str">
        <f>'Translation Table'!I672</f>
        <v>Low-Bleed</v>
      </c>
      <c r="D23" s="90" t="str">
        <f>'Translation Table'!J672 &amp; ""</f>
        <v>低排洩</v>
      </c>
      <c r="E23" s="86" t="str">
        <f>'Translation Table'!K672 &amp; ""</f>
        <v>Baja Purga</v>
      </c>
      <c r="F23" s="41" t="str">
        <f>'Translation Table'!L672 &amp; ""</f>
        <v/>
      </c>
      <c r="G23" s="41" t="str">
        <f>'Translation Table'!M672 &amp; ""</f>
        <v/>
      </c>
      <c r="H23" s="41" t="str">
        <f>'Translation Table'!N672 &amp; ""</f>
        <v/>
      </c>
      <c r="I23" s="41" t="str">
        <f>'Translation Table'!O672 &amp; ""</f>
        <v/>
      </c>
      <c r="J23" s="41" t="str">
        <f>'Translation Table'!P672 &amp; ""</f>
        <v/>
      </c>
      <c r="K23" s="41" t="str">
        <f>'Translation Table'!Q672 &amp; ""</f>
        <v/>
      </c>
      <c r="L23" s="41" t="str">
        <f>'Translation Table'!R672 &amp; ""</f>
        <v/>
      </c>
      <c r="M23" s="41" t="str">
        <f>'Translation Table'!S672 &amp; ""</f>
        <v/>
      </c>
      <c r="N23" s="41" t="str">
        <f>'Translation Table'!T672 &amp; ""</f>
        <v/>
      </c>
      <c r="O23" s="41" t="str">
        <f>'Translation Table'!U672 &amp; ""</f>
        <v/>
      </c>
      <c r="P23" s="41" t="str">
        <f>'Translation Table'!V672 &amp; ""</f>
        <v/>
      </c>
    </row>
    <row r="24" spans="1:16" x14ac:dyDescent="0.3">
      <c r="A24" s="43"/>
      <c r="B24" s="43" t="str">
        <f ca="1">INDIRECT(CHAR(64+'Translation Table'!$D$1-6)&amp;ROW())</f>
        <v>High-Bleed</v>
      </c>
      <c r="C24" s="43" t="str">
        <f>'Translation Table'!I673</f>
        <v>High-Bleed</v>
      </c>
      <c r="D24" s="82" t="str">
        <f>'Translation Table'!J673 &amp; ""</f>
        <v>高排放</v>
      </c>
      <c r="E24" s="43" t="str">
        <f>'Translation Table'!K673 &amp; ""</f>
        <v>Alta Purga</v>
      </c>
      <c r="F24" s="41" t="str">
        <f>'Translation Table'!L673 &amp; ""</f>
        <v/>
      </c>
      <c r="G24" s="41" t="str">
        <f>'Translation Table'!M673 &amp; ""</f>
        <v/>
      </c>
      <c r="H24" s="41" t="str">
        <f>'Translation Table'!N673 &amp; ""</f>
        <v/>
      </c>
      <c r="I24" s="41" t="str">
        <f>'Translation Table'!O673 &amp; ""</f>
        <v/>
      </c>
      <c r="J24" s="41" t="str">
        <f>'Translation Table'!P673 &amp; ""</f>
        <v/>
      </c>
      <c r="K24" s="41" t="str">
        <f>'Translation Table'!Q673 &amp; ""</f>
        <v/>
      </c>
      <c r="L24" s="41" t="str">
        <f>'Translation Table'!R673 &amp; ""</f>
        <v/>
      </c>
      <c r="M24" s="41" t="str">
        <f>'Translation Table'!S673 &amp; ""</f>
        <v/>
      </c>
      <c r="N24" s="41" t="str">
        <f>'Translation Table'!T673 &amp; ""</f>
        <v/>
      </c>
      <c r="O24" s="41" t="str">
        <f>'Translation Table'!U673 &amp; ""</f>
        <v/>
      </c>
      <c r="P24" s="41" t="str">
        <f>'Translation Table'!V673 &amp; ""</f>
        <v/>
      </c>
    </row>
    <row r="25" spans="1:16" x14ac:dyDescent="0.3">
      <c r="A25" s="86"/>
      <c r="B25" s="86" t="str">
        <f ca="1">INDIRECT(CHAR(64+'Translation Table'!$D$1-6)&amp;ROW())</f>
        <v>Intermittent Bleed</v>
      </c>
      <c r="C25" s="86" t="str">
        <f>'Translation Table'!I674</f>
        <v>Intermittent Bleed</v>
      </c>
      <c r="D25" s="90" t="str">
        <f>'Translation Table'!J674 &amp; ""</f>
        <v>间歇排放</v>
      </c>
      <c r="E25" s="86" t="str">
        <f>'Translation Table'!K674 &amp; ""</f>
        <v>Purga Intermitente</v>
      </c>
      <c r="F25" s="41" t="str">
        <f>'Translation Table'!L674 &amp; ""</f>
        <v/>
      </c>
      <c r="G25" s="41" t="str">
        <f>'Translation Table'!M674 &amp; ""</f>
        <v/>
      </c>
      <c r="H25" s="41" t="str">
        <f>'Translation Table'!N674 &amp; ""</f>
        <v/>
      </c>
      <c r="I25" s="41" t="str">
        <f>'Translation Table'!O674 &amp; ""</f>
        <v/>
      </c>
      <c r="J25" s="41" t="str">
        <f>'Translation Table'!P674 &amp; ""</f>
        <v/>
      </c>
      <c r="K25" s="41" t="str">
        <f>'Translation Table'!Q674 &amp; ""</f>
        <v/>
      </c>
      <c r="L25" s="41" t="str">
        <f>'Translation Table'!R674 &amp; ""</f>
        <v/>
      </c>
      <c r="M25" s="41" t="str">
        <f>'Translation Table'!S674 &amp; ""</f>
        <v/>
      </c>
      <c r="N25" s="41" t="str">
        <f>'Translation Table'!T674 &amp; ""</f>
        <v/>
      </c>
      <c r="O25" s="41" t="str">
        <f>'Translation Table'!U674 &amp; ""</f>
        <v/>
      </c>
      <c r="P25" s="41" t="str">
        <f>'Translation Table'!V674 &amp; ""</f>
        <v/>
      </c>
    </row>
    <row r="26" spans="1:16" x14ac:dyDescent="0.3">
      <c r="A26" s="43"/>
      <c r="B26" s="43" t="str">
        <f ca="1">INDIRECT(CHAR(64+'Translation Table'!$D$1-6)&amp;ROW())</f>
        <v>No-Bleed</v>
      </c>
      <c r="C26" s="43" t="str">
        <f>'Translation Table'!I675</f>
        <v>No-Bleed</v>
      </c>
      <c r="D26" s="82" t="str">
        <f>'Translation Table'!J675 &amp; ""</f>
        <v>无排洩</v>
      </c>
      <c r="E26" s="43" t="str">
        <f>'Translation Table'!K675 &amp; ""</f>
        <v>Sin Purga</v>
      </c>
      <c r="F26" s="41" t="str">
        <f>'Translation Table'!L675 &amp; ""</f>
        <v/>
      </c>
      <c r="G26" s="41" t="str">
        <f>'Translation Table'!M675 &amp; ""</f>
        <v/>
      </c>
      <c r="H26" s="41" t="str">
        <f>'Translation Table'!N675 &amp; ""</f>
        <v/>
      </c>
      <c r="I26" s="41" t="str">
        <f>'Translation Table'!O675 &amp; ""</f>
        <v/>
      </c>
      <c r="J26" s="41" t="str">
        <f>'Translation Table'!P675 &amp; ""</f>
        <v/>
      </c>
      <c r="K26" s="41" t="str">
        <f>'Translation Table'!Q675 &amp; ""</f>
        <v/>
      </c>
      <c r="L26" s="41" t="str">
        <f>'Translation Table'!R675 &amp; ""</f>
        <v/>
      </c>
      <c r="M26" s="41" t="str">
        <f>'Translation Table'!S675 &amp; ""</f>
        <v/>
      </c>
      <c r="N26" s="41" t="str">
        <f>'Translation Table'!T675 &amp; ""</f>
        <v/>
      </c>
      <c r="O26" s="41" t="str">
        <f>'Translation Table'!U675 &amp; ""</f>
        <v/>
      </c>
      <c r="P26" s="41" t="str">
        <f>'Translation Table'!V675 &amp; ""</f>
        <v/>
      </c>
    </row>
    <row r="27" spans="1:16" x14ac:dyDescent="0.3">
      <c r="A27" s="86" t="str">
        <f ca="1">'Translation Table'!H676</f>
        <v>Source of Quantity</v>
      </c>
      <c r="B27" s="86"/>
      <c r="C27" s="86"/>
      <c r="D27" s="90"/>
      <c r="E27" s="86"/>
    </row>
    <row r="28" spans="1:16" x14ac:dyDescent="0.3">
      <c r="A28" s="43"/>
      <c r="B28" s="43" t="str">
        <f ca="1">INDIRECT(CHAR(64+'Translation Table'!$D$1-6)&amp;ROW())</f>
        <v>Engineering Judgement</v>
      </c>
      <c r="C28" s="43" t="str">
        <f>'Translation Table'!I677</f>
        <v>Engineering Judgement</v>
      </c>
      <c r="D28" s="82" t="str">
        <f>'Translation Table'!J677 &amp; ""</f>
        <v>工程判断</v>
      </c>
      <c r="E28" s="43" t="str">
        <f>'Translation Table'!K677 &amp; ""</f>
        <v>Juicio de Ingeniería</v>
      </c>
      <c r="F28" s="41" t="str">
        <f>'Translation Table'!L677 &amp; ""</f>
        <v/>
      </c>
      <c r="G28" s="41" t="str">
        <f>'Translation Table'!M677 &amp; ""</f>
        <v/>
      </c>
      <c r="H28" s="41" t="str">
        <f>'Translation Table'!N677 &amp; ""</f>
        <v/>
      </c>
      <c r="I28" s="41" t="str">
        <f>'Translation Table'!O677 &amp; ""</f>
        <v/>
      </c>
      <c r="J28" s="41" t="str">
        <f>'Translation Table'!P677 &amp; ""</f>
        <v/>
      </c>
      <c r="K28" s="41" t="str">
        <f>'Translation Table'!Q677 &amp; ""</f>
        <v/>
      </c>
      <c r="L28" s="41" t="str">
        <f>'Translation Table'!R677 &amp; ""</f>
        <v/>
      </c>
      <c r="M28" s="41" t="str">
        <f>'Translation Table'!S677 &amp; ""</f>
        <v/>
      </c>
      <c r="N28" s="41" t="str">
        <f>'Translation Table'!T677 &amp; ""</f>
        <v/>
      </c>
      <c r="O28" s="41" t="str">
        <f>'Translation Table'!U677 &amp; ""</f>
        <v/>
      </c>
      <c r="P28" s="41" t="str">
        <f>'Translation Table'!V677 &amp; ""</f>
        <v/>
      </c>
    </row>
    <row r="29" spans="1:16" x14ac:dyDescent="0.3">
      <c r="A29" s="86"/>
      <c r="B29" s="86" t="str">
        <f ca="1">INDIRECT(CHAR(64+'Translation Table'!$D$1-6)&amp;ROW())</f>
        <v>Calculated</v>
      </c>
      <c r="C29" s="86" t="str">
        <f>'Translation Table'!I678</f>
        <v>Calculated</v>
      </c>
      <c r="D29" s="90" t="str">
        <f>'Translation Table'!J678 &amp; ""</f>
        <v>计算</v>
      </c>
      <c r="E29" s="86" t="str">
        <f>'Translation Table'!K678 &amp; ""</f>
        <v>Calculado</v>
      </c>
      <c r="F29" s="41" t="str">
        <f>'Translation Table'!L678 &amp; ""</f>
        <v/>
      </c>
      <c r="G29" s="41" t="str">
        <f>'Translation Table'!M678 &amp; ""</f>
        <v/>
      </c>
      <c r="H29" s="41" t="str">
        <f>'Translation Table'!N678 &amp; ""</f>
        <v/>
      </c>
      <c r="I29" s="41" t="str">
        <f>'Translation Table'!O678 &amp; ""</f>
        <v/>
      </c>
      <c r="J29" s="41" t="str">
        <f>'Translation Table'!P678 &amp; ""</f>
        <v/>
      </c>
      <c r="K29" s="41" t="str">
        <f>'Translation Table'!Q678 &amp; ""</f>
        <v/>
      </c>
      <c r="L29" s="41" t="str">
        <f>'Translation Table'!R678 &amp; ""</f>
        <v/>
      </c>
      <c r="M29" s="41" t="str">
        <f>'Translation Table'!S678 &amp; ""</f>
        <v/>
      </c>
      <c r="N29" s="41" t="str">
        <f>'Translation Table'!T678 &amp; ""</f>
        <v/>
      </c>
      <c r="O29" s="41" t="str">
        <f>'Translation Table'!U678 &amp; ""</f>
        <v/>
      </c>
      <c r="P29" s="41" t="str">
        <f>'Translation Table'!V678 &amp; ""</f>
        <v/>
      </c>
    </row>
    <row r="30" spans="1:16" x14ac:dyDescent="0.3">
      <c r="A30" s="43"/>
      <c r="B30" s="43" t="str">
        <f ca="1">INDIRECT(CHAR(64+'Translation Table'!$D$1-6)&amp;ROW())</f>
        <v>Measured</v>
      </c>
      <c r="C30" s="43" t="str">
        <f>'Translation Table'!I679</f>
        <v>Measured</v>
      </c>
      <c r="D30" s="82" t="str">
        <f>'Translation Table'!J679 &amp; ""</f>
        <v>测量</v>
      </c>
      <c r="E30" s="43" t="str">
        <f>'Translation Table'!K679 &amp; ""</f>
        <v>Medido</v>
      </c>
      <c r="F30" s="41" t="str">
        <f>'Translation Table'!L679 &amp; ""</f>
        <v/>
      </c>
      <c r="G30" s="41" t="str">
        <f>'Translation Table'!M679 &amp; ""</f>
        <v/>
      </c>
      <c r="H30" s="41" t="str">
        <f>'Translation Table'!N679 &amp; ""</f>
        <v/>
      </c>
      <c r="I30" s="41" t="str">
        <f>'Translation Table'!O679 &amp; ""</f>
        <v/>
      </c>
      <c r="J30" s="41" t="str">
        <f>'Translation Table'!P679 &amp; ""</f>
        <v/>
      </c>
      <c r="K30" s="41" t="str">
        <f>'Translation Table'!Q679 &amp; ""</f>
        <v/>
      </c>
      <c r="L30" s="41" t="str">
        <f>'Translation Table'!R679 &amp; ""</f>
        <v/>
      </c>
      <c r="M30" s="41" t="str">
        <f>'Translation Table'!S679 &amp; ""</f>
        <v/>
      </c>
      <c r="N30" s="41" t="str">
        <f>'Translation Table'!T679 &amp; ""</f>
        <v/>
      </c>
      <c r="O30" s="41" t="str">
        <f>'Translation Table'!U679 &amp; ""</f>
        <v/>
      </c>
      <c r="P30" s="41" t="str">
        <f>'Translation Table'!V679 &amp; ""</f>
        <v/>
      </c>
    </row>
    <row r="31" spans="1:16" x14ac:dyDescent="0.3">
      <c r="A31" s="86" t="str">
        <f ca="1">'Translation Table'!H680</f>
        <v>Source of Property</v>
      </c>
      <c r="B31" s="86"/>
      <c r="C31" s="86"/>
      <c r="D31" s="90"/>
      <c r="E31" s="86"/>
    </row>
    <row r="32" spans="1:16" x14ac:dyDescent="0.3">
      <c r="A32" s="43"/>
      <c r="B32" s="43" t="str">
        <f ca="1">INDIRECT(CHAR(64+'Translation Table'!$D$1-6)&amp;ROW())</f>
        <v>Default</v>
      </c>
      <c r="C32" s="43" t="str">
        <f>'Translation Table'!I681</f>
        <v>Default</v>
      </c>
      <c r="D32" s="82" t="str">
        <f>'Translation Table'!J681 &amp; ""</f>
        <v>默认</v>
      </c>
      <c r="E32" s="43" t="str">
        <f>'Translation Table'!K681 &amp; ""</f>
        <v>Defecto</v>
      </c>
      <c r="F32" s="41" t="str">
        <f>'Translation Table'!L681 &amp; ""</f>
        <v/>
      </c>
      <c r="G32" s="41" t="str">
        <f>'Translation Table'!M681 &amp; ""</f>
        <v/>
      </c>
      <c r="H32" s="41" t="str">
        <f>'Translation Table'!N681 &amp; ""</f>
        <v/>
      </c>
      <c r="I32" s="41" t="str">
        <f>'Translation Table'!O681 &amp; ""</f>
        <v/>
      </c>
      <c r="J32" s="41" t="str">
        <f>'Translation Table'!P681 &amp; ""</f>
        <v/>
      </c>
      <c r="K32" s="41" t="str">
        <f>'Translation Table'!Q681 &amp; ""</f>
        <v/>
      </c>
      <c r="L32" s="41" t="str">
        <f>'Translation Table'!R681 &amp; ""</f>
        <v/>
      </c>
      <c r="M32" s="41" t="str">
        <f>'Translation Table'!S681 &amp; ""</f>
        <v/>
      </c>
      <c r="N32" s="41" t="str">
        <f>'Translation Table'!T681 &amp; ""</f>
        <v/>
      </c>
      <c r="O32" s="41" t="str">
        <f>'Translation Table'!U681 &amp; ""</f>
        <v/>
      </c>
      <c r="P32" s="41" t="str">
        <f>'Translation Table'!V681 &amp; ""</f>
        <v/>
      </c>
    </row>
    <row r="33" spans="1:16" x14ac:dyDescent="0.3">
      <c r="A33" s="86"/>
      <c r="B33" s="86" t="str">
        <f ca="1">INDIRECT(CHAR(64+'Translation Table'!$D$1-6)&amp;ROW())</f>
        <v>Measured</v>
      </c>
      <c r="C33" s="86" t="str">
        <f>'Translation Table'!I682</f>
        <v>Measured</v>
      </c>
      <c r="D33" s="90" t="str">
        <f>'Translation Table'!J682 &amp; ""</f>
        <v>测量</v>
      </c>
      <c r="E33" s="86" t="str">
        <f>'Translation Table'!K682 &amp; ""</f>
        <v>Medido</v>
      </c>
      <c r="F33" s="41" t="str">
        <f>'Translation Table'!L682 &amp; ""</f>
        <v/>
      </c>
      <c r="G33" s="41" t="str">
        <f>'Translation Table'!M682 &amp; ""</f>
        <v/>
      </c>
      <c r="H33" s="41" t="str">
        <f>'Translation Table'!N682 &amp; ""</f>
        <v/>
      </c>
      <c r="I33" s="41" t="str">
        <f>'Translation Table'!O682 &amp; ""</f>
        <v/>
      </c>
      <c r="J33" s="41" t="str">
        <f>'Translation Table'!P682 &amp; ""</f>
        <v/>
      </c>
      <c r="K33" s="41" t="str">
        <f>'Translation Table'!Q682 &amp; ""</f>
        <v/>
      </c>
      <c r="L33" s="41" t="str">
        <f>'Translation Table'!R682 &amp; ""</f>
        <v/>
      </c>
      <c r="M33" s="41" t="str">
        <f>'Translation Table'!S682 &amp; ""</f>
        <v/>
      </c>
      <c r="N33" s="41" t="str">
        <f>'Translation Table'!T682 &amp; ""</f>
        <v/>
      </c>
      <c r="O33" s="41" t="str">
        <f>'Translation Table'!U682 &amp; ""</f>
        <v/>
      </c>
      <c r="P33" s="41" t="str">
        <f>'Translation Table'!V682 &amp; ""</f>
        <v/>
      </c>
    </row>
    <row r="34" spans="1:16" x14ac:dyDescent="0.3">
      <c r="A34" s="43"/>
      <c r="B34" s="43" t="str">
        <f ca="1">INDIRECT(CHAR(64+'Translation Table'!$D$1-6)&amp;ROW())</f>
        <v>Calculated</v>
      </c>
      <c r="C34" s="43" t="str">
        <f>'Translation Table'!I683</f>
        <v>Calculated</v>
      </c>
      <c r="D34" s="82" t="str">
        <f>'Translation Table'!J683 &amp; ""</f>
        <v>计算</v>
      </c>
      <c r="E34" s="43" t="str">
        <f>'Translation Table'!K683 &amp; ""</f>
        <v>Calculado</v>
      </c>
      <c r="F34" s="41" t="str">
        <f>'Translation Table'!L683 &amp; ""</f>
        <v/>
      </c>
      <c r="G34" s="41" t="str">
        <f>'Translation Table'!M683 &amp; ""</f>
        <v/>
      </c>
      <c r="H34" s="41" t="str">
        <f>'Translation Table'!N683 &amp; ""</f>
        <v/>
      </c>
      <c r="I34" s="41" t="str">
        <f>'Translation Table'!O683 &amp; ""</f>
        <v/>
      </c>
      <c r="J34" s="41" t="str">
        <f>'Translation Table'!P683 &amp; ""</f>
        <v/>
      </c>
      <c r="K34" s="41" t="str">
        <f>'Translation Table'!Q683 &amp; ""</f>
        <v/>
      </c>
      <c r="L34" s="41" t="str">
        <f>'Translation Table'!R683 &amp; ""</f>
        <v/>
      </c>
      <c r="M34" s="41" t="str">
        <f>'Translation Table'!S683 &amp; ""</f>
        <v/>
      </c>
      <c r="N34" s="41" t="str">
        <f>'Translation Table'!T683 &amp; ""</f>
        <v/>
      </c>
      <c r="O34" s="41" t="str">
        <f>'Translation Table'!U683 &amp; ""</f>
        <v/>
      </c>
      <c r="P34" s="41" t="str">
        <f>'Translation Table'!V683 &amp; ""</f>
        <v/>
      </c>
    </row>
    <row r="35" spans="1:16" x14ac:dyDescent="0.3">
      <c r="A35" s="86" t="str">
        <f ca="1">'Translation Table'!H684</f>
        <v>Solid Fuels</v>
      </c>
      <c r="B35" s="86"/>
      <c r="C35" s="86"/>
      <c r="D35" s="90"/>
      <c r="E35" s="86"/>
    </row>
    <row r="36" spans="1:16" x14ac:dyDescent="0.3">
      <c r="A36" s="43"/>
      <c r="B36" s="43" t="str">
        <f ca="1">INDIRECT(CHAR(64+'Translation Table'!$D$1-6)&amp;ROW())</f>
        <v>Anthracite</v>
      </c>
      <c r="C36" s="43" t="str">
        <f>'Translation Table'!I685</f>
        <v>Anthracite</v>
      </c>
      <c r="D36" s="82" t="str">
        <f>'Translation Table'!J685 &amp; ""</f>
        <v>无烟煤</v>
      </c>
      <c r="E36" s="43" t="str">
        <f>'Translation Table'!K685 &amp; ""</f>
        <v>Antracita</v>
      </c>
      <c r="F36" s="41" t="str">
        <f>'Translation Table'!L685 &amp; ""</f>
        <v/>
      </c>
      <c r="G36" s="41" t="str">
        <f>'Translation Table'!M685 &amp; ""</f>
        <v/>
      </c>
      <c r="H36" s="41" t="str">
        <f>'Translation Table'!N685 &amp; ""</f>
        <v/>
      </c>
      <c r="I36" s="41" t="str">
        <f>'Translation Table'!O685 &amp; ""</f>
        <v/>
      </c>
      <c r="J36" s="41" t="str">
        <f>'Translation Table'!P685 &amp; ""</f>
        <v/>
      </c>
      <c r="K36" s="41" t="str">
        <f>'Translation Table'!Q685 &amp; ""</f>
        <v/>
      </c>
      <c r="L36" s="41" t="str">
        <f>'Translation Table'!R685 &amp; ""</f>
        <v/>
      </c>
      <c r="M36" s="41" t="str">
        <f>'Translation Table'!S685 &amp; ""</f>
        <v/>
      </c>
      <c r="N36" s="41" t="str">
        <f>'Translation Table'!T685 &amp; ""</f>
        <v/>
      </c>
      <c r="O36" s="41" t="str">
        <f>'Translation Table'!U685 &amp; ""</f>
        <v/>
      </c>
      <c r="P36" s="41" t="str">
        <f>'Translation Table'!V685 &amp; ""</f>
        <v/>
      </c>
    </row>
    <row r="37" spans="1:16" x14ac:dyDescent="0.3">
      <c r="A37" s="86"/>
      <c r="B37" s="86" t="str">
        <f ca="1">INDIRECT(CHAR(64+'Translation Table'!$D$1-6)&amp;ROW())</f>
        <v>Bituminous</v>
      </c>
      <c r="C37" s="86" t="str">
        <f>'Translation Table'!I686</f>
        <v>Bituminous</v>
      </c>
      <c r="D37" s="90" t="str">
        <f>'Translation Table'!J686 &amp; ""</f>
        <v>沥青</v>
      </c>
      <c r="E37" s="86" t="str">
        <f>'Translation Table'!K686 &amp; ""</f>
        <v>Bituminosa</v>
      </c>
      <c r="F37" s="41" t="str">
        <f>'Translation Table'!L686 &amp; ""</f>
        <v/>
      </c>
      <c r="G37" s="41" t="str">
        <f>'Translation Table'!M686 &amp; ""</f>
        <v/>
      </c>
      <c r="H37" s="41" t="str">
        <f>'Translation Table'!N686 &amp; ""</f>
        <v/>
      </c>
      <c r="I37" s="41" t="str">
        <f>'Translation Table'!O686 &amp; ""</f>
        <v/>
      </c>
      <c r="J37" s="41" t="str">
        <f>'Translation Table'!P686 &amp; ""</f>
        <v/>
      </c>
      <c r="K37" s="41" t="str">
        <f>'Translation Table'!Q686 &amp; ""</f>
        <v/>
      </c>
      <c r="L37" s="41" t="str">
        <f>'Translation Table'!R686 &amp; ""</f>
        <v/>
      </c>
      <c r="M37" s="41" t="str">
        <f>'Translation Table'!S686 &amp; ""</f>
        <v/>
      </c>
      <c r="N37" s="41" t="str">
        <f>'Translation Table'!T686 &amp; ""</f>
        <v/>
      </c>
      <c r="O37" s="41" t="str">
        <f>'Translation Table'!U686 &amp; ""</f>
        <v/>
      </c>
      <c r="P37" s="41" t="str">
        <f>'Translation Table'!V686 &amp; ""</f>
        <v/>
      </c>
    </row>
    <row r="38" spans="1:16" x14ac:dyDescent="0.3">
      <c r="A38" s="43"/>
      <c r="B38" s="43" t="str">
        <f ca="1">INDIRECT(CHAR(64+'Translation Table'!$D$1-6)&amp;ROW())</f>
        <v>Lignite</v>
      </c>
      <c r="C38" s="43" t="str">
        <f>'Translation Table'!I687</f>
        <v>Lignite</v>
      </c>
      <c r="D38" s="82" t="str">
        <f>'Translation Table'!J687 &amp; ""</f>
        <v>褐煤</v>
      </c>
      <c r="E38" s="43" t="str">
        <f>'Translation Table'!K687 &amp; ""</f>
        <v>Lignito</v>
      </c>
      <c r="F38" s="41" t="str">
        <f>'Translation Table'!L687 &amp; ""</f>
        <v/>
      </c>
      <c r="G38" s="41" t="str">
        <f>'Translation Table'!M687 &amp; ""</f>
        <v/>
      </c>
      <c r="H38" s="41" t="str">
        <f>'Translation Table'!N687 &amp; ""</f>
        <v/>
      </c>
      <c r="I38" s="41" t="str">
        <f>'Translation Table'!O687 &amp; ""</f>
        <v/>
      </c>
      <c r="J38" s="41" t="str">
        <f>'Translation Table'!P687 &amp; ""</f>
        <v/>
      </c>
      <c r="K38" s="41" t="str">
        <f>'Translation Table'!Q687 &amp; ""</f>
        <v/>
      </c>
      <c r="L38" s="41" t="str">
        <f>'Translation Table'!R687 &amp; ""</f>
        <v/>
      </c>
      <c r="M38" s="41" t="str">
        <f>'Translation Table'!S687 &amp; ""</f>
        <v/>
      </c>
      <c r="N38" s="41" t="str">
        <f>'Translation Table'!T687 &amp; ""</f>
        <v/>
      </c>
      <c r="O38" s="41" t="str">
        <f>'Translation Table'!U687 &amp; ""</f>
        <v/>
      </c>
      <c r="P38" s="41" t="str">
        <f>'Translation Table'!V687 &amp; ""</f>
        <v/>
      </c>
    </row>
    <row r="39" spans="1:16" x14ac:dyDescent="0.3">
      <c r="A39" s="86"/>
      <c r="B39" s="86" t="str">
        <f ca="1">INDIRECT(CHAR(64+'Translation Table'!$D$1-6)&amp;ROW())</f>
        <v>Cleaned Coal</v>
      </c>
      <c r="C39" s="86" t="str">
        <f>'Translation Table'!I688</f>
        <v>Cleaned Coal</v>
      </c>
      <c r="D39" s="90" t="str">
        <f>'Translation Table'!J688 &amp; ""</f>
        <v>精煤</v>
      </c>
      <c r="E39" s="86" t="str">
        <f>'Translation Table'!K688 &amp; ""</f>
        <v>Carbón Limpio</v>
      </c>
      <c r="F39" s="41" t="str">
        <f>'Translation Table'!L688 &amp; ""</f>
        <v/>
      </c>
      <c r="G39" s="41" t="str">
        <f>'Translation Table'!M688 &amp; ""</f>
        <v/>
      </c>
      <c r="H39" s="41" t="str">
        <f>'Translation Table'!N688 &amp; ""</f>
        <v/>
      </c>
      <c r="I39" s="41" t="str">
        <f>'Translation Table'!O688 &amp; ""</f>
        <v/>
      </c>
      <c r="J39" s="41" t="str">
        <f>'Translation Table'!P688 &amp; ""</f>
        <v/>
      </c>
      <c r="K39" s="41" t="str">
        <f>'Translation Table'!Q688 &amp; ""</f>
        <v/>
      </c>
      <c r="L39" s="41" t="str">
        <f>'Translation Table'!R688 &amp; ""</f>
        <v/>
      </c>
      <c r="M39" s="41" t="str">
        <f>'Translation Table'!S688 &amp; ""</f>
        <v/>
      </c>
      <c r="N39" s="41" t="str">
        <f>'Translation Table'!T688 &amp; ""</f>
        <v/>
      </c>
      <c r="O39" s="41" t="str">
        <f>'Translation Table'!U688 &amp; ""</f>
        <v/>
      </c>
      <c r="P39" s="41" t="str">
        <f>'Translation Table'!V688 &amp; ""</f>
        <v/>
      </c>
    </row>
    <row r="40" spans="1:16" x14ac:dyDescent="0.3">
      <c r="A40" s="43"/>
      <c r="B40" s="43" t="str">
        <f ca="1">INDIRECT(CHAR(64+'Translation Table'!$D$1-6)&amp;ROW())</f>
        <v>Other Washed Coal</v>
      </c>
      <c r="C40" s="43" t="str">
        <f>'Translation Table'!I689</f>
        <v>Other Washed Coal</v>
      </c>
      <c r="D40" s="82" t="str">
        <f>'Translation Table'!J689 &amp; ""</f>
        <v>其他洗煤</v>
      </c>
      <c r="E40" s="43" t="str">
        <f>'Translation Table'!K689 &amp; ""</f>
        <v>Otro Carbón Lavado</v>
      </c>
      <c r="F40" s="41" t="str">
        <f>'Translation Table'!L689 &amp; ""</f>
        <v/>
      </c>
      <c r="G40" s="41" t="str">
        <f>'Translation Table'!M689 &amp; ""</f>
        <v/>
      </c>
      <c r="H40" s="41" t="str">
        <f>'Translation Table'!N689 &amp; ""</f>
        <v/>
      </c>
      <c r="I40" s="41" t="str">
        <f>'Translation Table'!O689 &amp; ""</f>
        <v/>
      </c>
      <c r="J40" s="41" t="str">
        <f>'Translation Table'!P689 &amp; ""</f>
        <v/>
      </c>
      <c r="K40" s="41" t="str">
        <f>'Translation Table'!Q689 &amp; ""</f>
        <v/>
      </c>
      <c r="L40" s="41" t="str">
        <f>'Translation Table'!R689 &amp; ""</f>
        <v/>
      </c>
      <c r="M40" s="41" t="str">
        <f>'Translation Table'!S689 &amp; ""</f>
        <v/>
      </c>
      <c r="N40" s="41" t="str">
        <f>'Translation Table'!T689 &amp; ""</f>
        <v/>
      </c>
      <c r="O40" s="41" t="str">
        <f>'Translation Table'!U689 &amp; ""</f>
        <v/>
      </c>
      <c r="P40" s="41" t="str">
        <f>'Translation Table'!V689 &amp; ""</f>
        <v/>
      </c>
    </row>
    <row r="41" spans="1:16" x14ac:dyDescent="0.3">
      <c r="A41" s="86"/>
      <c r="B41" s="86" t="str">
        <f ca="1">INDIRECT(CHAR(64+'Translation Table'!$D$1-6)&amp;ROW())</f>
        <v>Briquette Coal</v>
      </c>
      <c r="C41" s="86" t="str">
        <f>'Translation Table'!I690</f>
        <v>Briquette Coal</v>
      </c>
      <c r="D41" s="90" t="str">
        <f>'Translation Table'!J690 &amp; ""</f>
        <v>型煤</v>
      </c>
      <c r="E41" s="86" t="str">
        <f>'Translation Table'!K690 &amp; ""</f>
        <v>Carbón en Briquetas</v>
      </c>
      <c r="F41" s="41" t="str">
        <f>'Translation Table'!L690 &amp; ""</f>
        <v/>
      </c>
      <c r="G41" s="41" t="str">
        <f>'Translation Table'!M690 &amp; ""</f>
        <v/>
      </c>
      <c r="H41" s="41" t="str">
        <f>'Translation Table'!N690 &amp; ""</f>
        <v/>
      </c>
      <c r="I41" s="41" t="str">
        <f>'Translation Table'!O690 &amp; ""</f>
        <v/>
      </c>
      <c r="J41" s="41" t="str">
        <f>'Translation Table'!P690 &amp; ""</f>
        <v/>
      </c>
      <c r="K41" s="41" t="str">
        <f>'Translation Table'!Q690 &amp; ""</f>
        <v/>
      </c>
      <c r="L41" s="41" t="str">
        <f>'Translation Table'!R690 &amp; ""</f>
        <v/>
      </c>
      <c r="M41" s="41" t="str">
        <f>'Translation Table'!S690 &amp; ""</f>
        <v/>
      </c>
      <c r="N41" s="41" t="str">
        <f>'Translation Table'!T690 &amp; ""</f>
        <v/>
      </c>
      <c r="O41" s="41" t="str">
        <f>'Translation Table'!U690 &amp; ""</f>
        <v/>
      </c>
      <c r="P41" s="41" t="str">
        <f>'Translation Table'!V690 &amp; ""</f>
        <v/>
      </c>
    </row>
    <row r="42" spans="1:16" x14ac:dyDescent="0.3">
      <c r="A42" s="43"/>
      <c r="B42" s="43" t="str">
        <f ca="1">INDIRECT(CHAR(64+'Translation Table'!$D$1-6)&amp;ROW())</f>
        <v>Coke</v>
      </c>
      <c r="C42" s="43" t="str">
        <f>'Translation Table'!I691</f>
        <v>Coke</v>
      </c>
      <c r="D42" s="82" t="str">
        <f>'Translation Table'!J691 &amp; ""</f>
        <v>焦炭</v>
      </c>
      <c r="E42" s="43" t="str">
        <f>'Translation Table'!K691 &amp; ""</f>
        <v>Coque</v>
      </c>
      <c r="F42" s="41" t="str">
        <f>'Translation Table'!L691 &amp; ""</f>
        <v/>
      </c>
      <c r="G42" s="41" t="str">
        <f>'Translation Table'!M691 &amp; ""</f>
        <v/>
      </c>
      <c r="H42" s="41" t="str">
        <f>'Translation Table'!N691 &amp; ""</f>
        <v/>
      </c>
      <c r="I42" s="41" t="str">
        <f>'Translation Table'!O691 &amp; ""</f>
        <v/>
      </c>
      <c r="J42" s="41" t="str">
        <f>'Translation Table'!P691 &amp; ""</f>
        <v/>
      </c>
      <c r="K42" s="41" t="str">
        <f>'Translation Table'!Q691 &amp; ""</f>
        <v/>
      </c>
      <c r="L42" s="41" t="str">
        <f>'Translation Table'!R691 &amp; ""</f>
        <v/>
      </c>
      <c r="M42" s="41" t="str">
        <f>'Translation Table'!S691 &amp; ""</f>
        <v/>
      </c>
      <c r="N42" s="41" t="str">
        <f>'Translation Table'!T691 &amp; ""</f>
        <v/>
      </c>
      <c r="O42" s="41" t="str">
        <f>'Translation Table'!U691 &amp; ""</f>
        <v/>
      </c>
      <c r="P42" s="41" t="str">
        <f>'Translation Table'!V691 &amp; ""</f>
        <v/>
      </c>
    </row>
    <row r="43" spans="1:16" x14ac:dyDescent="0.3">
      <c r="A43" s="86"/>
      <c r="B43" s="86" t="str">
        <f ca="1">INDIRECT(CHAR(64+'Translation Table'!$D$1-6)&amp;ROW())</f>
        <v>Petroleum Coke</v>
      </c>
      <c r="C43" s="86" t="str">
        <f>'Translation Table'!I692</f>
        <v>Petroleum Coke</v>
      </c>
      <c r="D43" s="90" t="str">
        <f>'Translation Table'!J692 &amp; ""</f>
        <v>石油焦炭</v>
      </c>
      <c r="E43" s="86" t="str">
        <f>'Translation Table'!K692 &amp; ""</f>
        <v>Coque de Petróleo</v>
      </c>
      <c r="F43" s="41" t="str">
        <f>'Translation Table'!L692 &amp; ""</f>
        <v/>
      </c>
      <c r="G43" s="41" t="str">
        <f>'Translation Table'!M692 &amp; ""</f>
        <v/>
      </c>
      <c r="H43" s="41" t="str">
        <f>'Translation Table'!N692 &amp; ""</f>
        <v/>
      </c>
      <c r="I43" s="41" t="str">
        <f>'Translation Table'!O692 &amp; ""</f>
        <v/>
      </c>
      <c r="J43" s="41" t="str">
        <f>'Translation Table'!P692 &amp; ""</f>
        <v/>
      </c>
      <c r="K43" s="41" t="str">
        <f>'Translation Table'!Q692 &amp; ""</f>
        <v/>
      </c>
      <c r="L43" s="41" t="str">
        <f>'Translation Table'!R692 &amp; ""</f>
        <v/>
      </c>
      <c r="M43" s="41" t="str">
        <f>'Translation Table'!S692 &amp; ""</f>
        <v/>
      </c>
      <c r="N43" s="41" t="str">
        <f>'Translation Table'!T692 &amp; ""</f>
        <v/>
      </c>
      <c r="O43" s="41" t="str">
        <f>'Translation Table'!U692 &amp; ""</f>
        <v/>
      </c>
      <c r="P43" s="41" t="str">
        <f>'Translation Table'!V692 &amp; ""</f>
        <v/>
      </c>
    </row>
    <row r="44" spans="1:16" x14ac:dyDescent="0.3">
      <c r="A44" s="43" t="str">
        <f ca="1">'Translation Table'!H693</f>
        <v>Liquid Fuels</v>
      </c>
      <c r="B44" s="43"/>
      <c r="C44" s="43"/>
      <c r="D44" s="82"/>
      <c r="E44" s="43"/>
    </row>
    <row r="45" spans="1:16" x14ac:dyDescent="0.3">
      <c r="A45" s="86"/>
      <c r="B45" s="86" t="str">
        <f ca="1">INDIRECT(CHAR(64+'Translation Table'!$D$1-6)&amp;ROW())</f>
        <v>Crude Oil</v>
      </c>
      <c r="C45" s="86" t="str">
        <f>'Translation Table'!I694</f>
        <v>Crude Oil</v>
      </c>
      <c r="D45" s="90" t="str">
        <f>'Translation Table'!J694 &amp; ""</f>
        <v>原油</v>
      </c>
      <c r="E45" s="86" t="str">
        <f>'Translation Table'!K694 &amp; ""</f>
        <v>Petróleo Crudo</v>
      </c>
      <c r="F45" s="41" t="str">
        <f>'Translation Table'!L694 &amp; ""</f>
        <v/>
      </c>
      <c r="G45" s="41" t="str">
        <f>'Translation Table'!M694 &amp; ""</f>
        <v/>
      </c>
      <c r="H45" s="41" t="str">
        <f>'Translation Table'!N694 &amp; ""</f>
        <v/>
      </c>
      <c r="I45" s="41" t="str">
        <f>'Translation Table'!O694 &amp; ""</f>
        <v/>
      </c>
      <c r="J45" s="41" t="str">
        <f>'Translation Table'!P694 &amp; ""</f>
        <v/>
      </c>
      <c r="K45" s="41" t="str">
        <f>'Translation Table'!Q694 &amp; ""</f>
        <v/>
      </c>
      <c r="L45" s="41" t="str">
        <f>'Translation Table'!R694 &amp; ""</f>
        <v/>
      </c>
      <c r="M45" s="41" t="str">
        <f>'Translation Table'!S694 &amp; ""</f>
        <v/>
      </c>
      <c r="N45" s="41" t="str">
        <f>'Translation Table'!T694 &amp; ""</f>
        <v/>
      </c>
      <c r="O45" s="41" t="str">
        <f>'Translation Table'!U694 &amp; ""</f>
        <v/>
      </c>
      <c r="P45" s="41" t="str">
        <f>'Translation Table'!V694 &amp; ""</f>
        <v/>
      </c>
    </row>
    <row r="46" spans="1:16" x14ac:dyDescent="0.3">
      <c r="A46" s="43"/>
      <c r="B46" s="43" t="str">
        <f ca="1">INDIRECT(CHAR(64+'Translation Table'!$D$1-6)&amp;ROW())</f>
        <v>Fuel Oil</v>
      </c>
      <c r="C46" s="43" t="str">
        <f>'Translation Table'!I695</f>
        <v>Fuel Oil</v>
      </c>
      <c r="D46" s="82" t="str">
        <f>'Translation Table'!J695 &amp; ""</f>
        <v>燃油</v>
      </c>
      <c r="E46" s="43" t="str">
        <f>'Translation Table'!K695 &amp; ""</f>
        <v>Combustóleo</v>
      </c>
      <c r="F46" s="41" t="str">
        <f>'Translation Table'!L695 &amp; ""</f>
        <v/>
      </c>
      <c r="G46" s="41" t="str">
        <f>'Translation Table'!M695 &amp; ""</f>
        <v/>
      </c>
      <c r="H46" s="41" t="str">
        <f>'Translation Table'!N695 &amp; ""</f>
        <v/>
      </c>
      <c r="I46" s="41" t="str">
        <f>'Translation Table'!O695 &amp; ""</f>
        <v/>
      </c>
      <c r="J46" s="41" t="str">
        <f>'Translation Table'!P695 &amp; ""</f>
        <v/>
      </c>
      <c r="K46" s="41" t="str">
        <f>'Translation Table'!Q695 &amp; ""</f>
        <v/>
      </c>
      <c r="L46" s="41" t="str">
        <f>'Translation Table'!R695 &amp; ""</f>
        <v/>
      </c>
      <c r="M46" s="41" t="str">
        <f>'Translation Table'!S695 &amp; ""</f>
        <v/>
      </c>
      <c r="N46" s="41" t="str">
        <f>'Translation Table'!T695 &amp; ""</f>
        <v/>
      </c>
      <c r="O46" s="41" t="str">
        <f>'Translation Table'!U695 &amp; ""</f>
        <v/>
      </c>
      <c r="P46" s="41" t="str">
        <f>'Translation Table'!V695 &amp; ""</f>
        <v/>
      </c>
    </row>
    <row r="47" spans="1:16" x14ac:dyDescent="0.3">
      <c r="A47" s="86"/>
      <c r="B47" s="86" t="str">
        <f ca="1">INDIRECT(CHAR(64+'Translation Table'!$D$1-6)&amp;ROW())</f>
        <v>Gasoline</v>
      </c>
      <c r="C47" s="86" t="str">
        <f>'Translation Table'!I696</f>
        <v>Gasoline</v>
      </c>
      <c r="D47" s="90" t="str">
        <f>'Translation Table'!J696 &amp; ""</f>
        <v>汽油</v>
      </c>
      <c r="E47" s="86" t="str">
        <f>'Translation Table'!K696 &amp; ""</f>
        <v>Gasolina</v>
      </c>
      <c r="F47" s="41" t="str">
        <f>'Translation Table'!L696 &amp; ""</f>
        <v/>
      </c>
      <c r="G47" s="41" t="str">
        <f>'Translation Table'!M696 &amp; ""</f>
        <v/>
      </c>
      <c r="H47" s="41" t="str">
        <f>'Translation Table'!N696 &amp; ""</f>
        <v/>
      </c>
      <c r="I47" s="41" t="str">
        <f>'Translation Table'!O696 &amp; ""</f>
        <v/>
      </c>
      <c r="J47" s="41" t="str">
        <f>'Translation Table'!P696 &amp; ""</f>
        <v/>
      </c>
      <c r="K47" s="41" t="str">
        <f>'Translation Table'!Q696 &amp; ""</f>
        <v/>
      </c>
      <c r="L47" s="41" t="str">
        <f>'Translation Table'!R696 &amp; ""</f>
        <v/>
      </c>
      <c r="M47" s="41" t="str">
        <f>'Translation Table'!S696 &amp; ""</f>
        <v/>
      </c>
      <c r="N47" s="41" t="str">
        <f>'Translation Table'!T696 &amp; ""</f>
        <v/>
      </c>
      <c r="O47" s="41" t="str">
        <f>'Translation Table'!U696 &amp; ""</f>
        <v/>
      </c>
      <c r="P47" s="41" t="str">
        <f>'Translation Table'!V696 &amp; ""</f>
        <v/>
      </c>
    </row>
    <row r="48" spans="1:16" x14ac:dyDescent="0.3">
      <c r="A48" s="43"/>
      <c r="B48" s="43" t="str">
        <f ca="1">INDIRECT(CHAR(64+'Translation Table'!$D$1-6)&amp;ROW())</f>
        <v>Diesel</v>
      </c>
      <c r="C48" s="43" t="str">
        <f>'Translation Table'!I697</f>
        <v>Diesel</v>
      </c>
      <c r="D48" s="82" t="str">
        <f>'Translation Table'!J697 &amp; ""</f>
        <v>柴油</v>
      </c>
      <c r="E48" s="43" t="str">
        <f>'Translation Table'!K697 &amp; ""</f>
        <v>Diésel</v>
      </c>
      <c r="F48" s="41" t="str">
        <f>'Translation Table'!L697 &amp; ""</f>
        <v/>
      </c>
      <c r="G48" s="41" t="str">
        <f>'Translation Table'!M697 &amp; ""</f>
        <v/>
      </c>
      <c r="H48" s="41" t="str">
        <f>'Translation Table'!N697 &amp; ""</f>
        <v/>
      </c>
      <c r="I48" s="41" t="str">
        <f>'Translation Table'!O697 &amp; ""</f>
        <v/>
      </c>
      <c r="J48" s="41" t="str">
        <f>'Translation Table'!P697 &amp; ""</f>
        <v/>
      </c>
      <c r="K48" s="41" t="str">
        <f>'Translation Table'!Q697 &amp; ""</f>
        <v/>
      </c>
      <c r="L48" s="41" t="str">
        <f>'Translation Table'!R697 &amp; ""</f>
        <v/>
      </c>
      <c r="M48" s="41" t="str">
        <f>'Translation Table'!S697 &amp; ""</f>
        <v/>
      </c>
      <c r="N48" s="41" t="str">
        <f>'Translation Table'!T697 &amp; ""</f>
        <v/>
      </c>
      <c r="O48" s="41" t="str">
        <f>'Translation Table'!U697 &amp; ""</f>
        <v/>
      </c>
      <c r="P48" s="41" t="str">
        <f>'Translation Table'!V697 &amp; ""</f>
        <v/>
      </c>
    </row>
    <row r="49" spans="1:16" x14ac:dyDescent="0.3">
      <c r="A49" s="86"/>
      <c r="B49" s="86" t="str">
        <f ca="1">INDIRECT(CHAR(64+'Translation Table'!$D$1-6)&amp;ROW())</f>
        <v>Aviation Kerosene</v>
      </c>
      <c r="C49" s="86" t="str">
        <f>'Translation Table'!I698</f>
        <v>Aviation Kerosene</v>
      </c>
      <c r="D49" s="90" t="str">
        <f>'Translation Table'!J698 &amp; ""</f>
        <v>航空煤油</v>
      </c>
      <c r="E49" s="86" t="str">
        <f>'Translation Table'!K698 &amp; ""</f>
        <v>Combustible de Aviación</v>
      </c>
      <c r="F49" s="41" t="str">
        <f>'Translation Table'!L698 &amp; ""</f>
        <v/>
      </c>
      <c r="G49" s="41" t="str">
        <f>'Translation Table'!M698 &amp; ""</f>
        <v/>
      </c>
      <c r="H49" s="41" t="str">
        <f>'Translation Table'!N698 &amp; ""</f>
        <v/>
      </c>
      <c r="I49" s="41" t="str">
        <f>'Translation Table'!O698 &amp; ""</f>
        <v/>
      </c>
      <c r="J49" s="41" t="str">
        <f>'Translation Table'!P698 &amp; ""</f>
        <v/>
      </c>
      <c r="K49" s="41" t="str">
        <f>'Translation Table'!Q698 &amp; ""</f>
        <v/>
      </c>
      <c r="L49" s="41" t="str">
        <f>'Translation Table'!R698 &amp; ""</f>
        <v/>
      </c>
      <c r="M49" s="41" t="str">
        <f>'Translation Table'!S698 &amp; ""</f>
        <v/>
      </c>
      <c r="N49" s="41" t="str">
        <f>'Translation Table'!T698 &amp; ""</f>
        <v/>
      </c>
      <c r="O49" s="41" t="str">
        <f>'Translation Table'!U698 &amp; ""</f>
        <v/>
      </c>
      <c r="P49" s="41" t="str">
        <f>'Translation Table'!V698 &amp; ""</f>
        <v/>
      </c>
    </row>
    <row r="50" spans="1:16" x14ac:dyDescent="0.3">
      <c r="A50" s="43"/>
      <c r="B50" s="43" t="str">
        <f ca="1">INDIRECT(CHAR(64+'Translation Table'!$D$1-6)&amp;ROW())</f>
        <v>Common Kerosene</v>
      </c>
      <c r="C50" s="43" t="str">
        <f>'Translation Table'!I699</f>
        <v>Common Kerosene</v>
      </c>
      <c r="D50" s="82" t="str">
        <f>'Translation Table'!J699 &amp; ""</f>
        <v>普通煤油</v>
      </c>
      <c r="E50" s="43" t="str">
        <f>'Translation Table'!K699 &amp; ""</f>
        <v>Queroseno Común</v>
      </c>
      <c r="F50" s="41" t="str">
        <f>'Translation Table'!L699 &amp; ""</f>
        <v/>
      </c>
      <c r="G50" s="41" t="str">
        <f>'Translation Table'!M699 &amp; ""</f>
        <v/>
      </c>
      <c r="H50" s="41" t="str">
        <f>'Translation Table'!N699 &amp; ""</f>
        <v/>
      </c>
      <c r="I50" s="41" t="str">
        <f>'Translation Table'!O699 &amp; ""</f>
        <v/>
      </c>
      <c r="J50" s="41" t="str">
        <f>'Translation Table'!P699 &amp; ""</f>
        <v/>
      </c>
      <c r="K50" s="41" t="str">
        <f>'Translation Table'!Q699 &amp; ""</f>
        <v/>
      </c>
      <c r="L50" s="41" t="str">
        <f>'Translation Table'!R699 &amp; ""</f>
        <v/>
      </c>
      <c r="M50" s="41" t="str">
        <f>'Translation Table'!S699 &amp; ""</f>
        <v/>
      </c>
      <c r="N50" s="41" t="str">
        <f>'Translation Table'!T699 &amp; ""</f>
        <v/>
      </c>
      <c r="O50" s="41" t="str">
        <f>'Translation Table'!U699 &amp; ""</f>
        <v/>
      </c>
      <c r="P50" s="41" t="str">
        <f>'Translation Table'!V699 &amp; ""</f>
        <v/>
      </c>
    </row>
    <row r="51" spans="1:16" x14ac:dyDescent="0.3">
      <c r="A51" s="86"/>
      <c r="B51" s="86" t="str">
        <f ca="1">INDIRECT(CHAR(64+'Translation Table'!$D$1-6)&amp;ROW())</f>
        <v>Naphtha</v>
      </c>
      <c r="C51" s="86" t="str">
        <f>'Translation Table'!I700</f>
        <v>Naphtha</v>
      </c>
      <c r="D51" s="90" t="str">
        <f>'Translation Table'!J700 &amp; ""</f>
        <v>石脑油</v>
      </c>
      <c r="E51" s="86" t="str">
        <f>'Translation Table'!K700 &amp; ""</f>
        <v>Nafta</v>
      </c>
      <c r="F51" s="41" t="str">
        <f>'Translation Table'!L700 &amp; ""</f>
        <v/>
      </c>
      <c r="G51" s="41" t="str">
        <f>'Translation Table'!M700 &amp; ""</f>
        <v/>
      </c>
      <c r="H51" s="41" t="str">
        <f>'Translation Table'!N700 &amp; ""</f>
        <v/>
      </c>
      <c r="I51" s="41" t="str">
        <f>'Translation Table'!O700 &amp; ""</f>
        <v/>
      </c>
      <c r="J51" s="41" t="str">
        <f>'Translation Table'!P700 &amp; ""</f>
        <v/>
      </c>
      <c r="K51" s="41" t="str">
        <f>'Translation Table'!Q700 &amp; ""</f>
        <v/>
      </c>
      <c r="L51" s="41" t="str">
        <f>'Translation Table'!R700 &amp; ""</f>
        <v/>
      </c>
      <c r="M51" s="41" t="str">
        <f>'Translation Table'!S700 &amp; ""</f>
        <v/>
      </c>
      <c r="N51" s="41" t="str">
        <f>'Translation Table'!T700 &amp; ""</f>
        <v/>
      </c>
      <c r="O51" s="41" t="str">
        <f>'Translation Table'!U700 &amp; ""</f>
        <v/>
      </c>
      <c r="P51" s="41" t="str">
        <f>'Translation Table'!V700 &amp; ""</f>
        <v/>
      </c>
    </row>
    <row r="52" spans="1:16" x14ac:dyDescent="0.3">
      <c r="A52" s="43"/>
      <c r="B52" s="43" t="str">
        <f ca="1">INDIRECT(CHAR(64+'Translation Table'!$D$1-6)&amp;ROW())</f>
        <v>Liquefied Petroleum Gas</v>
      </c>
      <c r="C52" s="43" t="str">
        <f>'Translation Table'!I701</f>
        <v>Liquefied Petroleum Gas</v>
      </c>
      <c r="D52" s="82" t="str">
        <f>'Translation Table'!J701 &amp; ""</f>
        <v>液化石油气</v>
      </c>
      <c r="E52" s="43" t="str">
        <f>'Translation Table'!K701 &amp; ""</f>
        <v>Gas Licuado de Petróleo</v>
      </c>
      <c r="F52" s="41" t="str">
        <f>'Translation Table'!L701 &amp; ""</f>
        <v/>
      </c>
      <c r="G52" s="41" t="str">
        <f>'Translation Table'!M701 &amp; ""</f>
        <v/>
      </c>
      <c r="H52" s="41" t="str">
        <f>'Translation Table'!N701 &amp; ""</f>
        <v/>
      </c>
      <c r="I52" s="41" t="str">
        <f>'Translation Table'!O701 &amp; ""</f>
        <v/>
      </c>
      <c r="J52" s="41" t="str">
        <f>'Translation Table'!P701 &amp; ""</f>
        <v/>
      </c>
      <c r="K52" s="41" t="str">
        <f>'Translation Table'!Q701 &amp; ""</f>
        <v/>
      </c>
      <c r="L52" s="41" t="str">
        <f>'Translation Table'!R701 &amp; ""</f>
        <v/>
      </c>
      <c r="M52" s="41" t="str">
        <f>'Translation Table'!S701 &amp; ""</f>
        <v/>
      </c>
      <c r="N52" s="41" t="str">
        <f>'Translation Table'!T701 &amp; ""</f>
        <v/>
      </c>
      <c r="O52" s="41" t="str">
        <f>'Translation Table'!U701 &amp; ""</f>
        <v/>
      </c>
      <c r="P52" s="41" t="str">
        <f>'Translation Table'!V701 &amp; ""</f>
        <v/>
      </c>
    </row>
    <row r="53" spans="1:16" x14ac:dyDescent="0.3">
      <c r="A53" s="86"/>
      <c r="B53" s="86" t="str">
        <f ca="1">INDIRECT(CHAR(64+'Translation Table'!$D$1-6)&amp;ROW())</f>
        <v>Liquefied Natural Gas</v>
      </c>
      <c r="C53" s="86" t="str">
        <f>'Translation Table'!I702</f>
        <v>Liquefied Natural Gas</v>
      </c>
      <c r="D53" s="90" t="str">
        <f>'Translation Table'!J702 &amp; ""</f>
        <v>液化天然气</v>
      </c>
      <c r="E53" s="86" t="str">
        <f>'Translation Table'!K702 &amp; ""</f>
        <v>Gas Natural Licuado</v>
      </c>
    </row>
    <row r="54" spans="1:16" x14ac:dyDescent="0.3">
      <c r="A54" s="43"/>
      <c r="B54" s="43" t="str">
        <f ca="1">INDIRECT(CHAR(64+'Translation Table'!$D$1-6)&amp;ROW())</f>
        <v>Propane (liquid)</v>
      </c>
      <c r="C54" s="43" t="str">
        <f>'Translation Table'!I703</f>
        <v>Propane (liquid)</v>
      </c>
      <c r="D54" s="82" t="str">
        <f>'Translation Table'!J703 &amp; ""</f>
        <v>丙烷（液體）</v>
      </c>
      <c r="E54" s="43" t="str">
        <f>'Translation Table'!K703 &amp; ""</f>
        <v>Propano (líquido)</v>
      </c>
      <c r="F54" s="41" t="str">
        <f>'Translation Table'!L703 &amp; ""</f>
        <v/>
      </c>
      <c r="G54" s="41" t="str">
        <f>'Translation Table'!M703 &amp; ""</f>
        <v/>
      </c>
      <c r="H54" s="41" t="str">
        <f>'Translation Table'!N703 &amp; ""</f>
        <v/>
      </c>
      <c r="I54" s="41" t="str">
        <f>'Translation Table'!O703 &amp; ""</f>
        <v/>
      </c>
      <c r="J54" s="41" t="str">
        <f>'Translation Table'!P703 &amp; ""</f>
        <v/>
      </c>
      <c r="K54" s="41" t="str">
        <f>'Translation Table'!Q703 &amp; ""</f>
        <v/>
      </c>
      <c r="L54" s="41" t="str">
        <f>'Translation Table'!R703 &amp; ""</f>
        <v/>
      </c>
      <c r="M54" s="41" t="str">
        <f>'Translation Table'!S703 &amp; ""</f>
        <v/>
      </c>
      <c r="N54" s="41" t="str">
        <f>'Translation Table'!T703 &amp; ""</f>
        <v/>
      </c>
      <c r="O54" s="41" t="str">
        <f>'Translation Table'!U703 &amp; ""</f>
        <v/>
      </c>
      <c r="P54" s="41" t="str">
        <f>'Translation Table'!V703 &amp; ""</f>
        <v/>
      </c>
    </row>
    <row r="55" spans="1:16" x14ac:dyDescent="0.3">
      <c r="A55" s="86" t="str">
        <f ca="1">'Translation Table'!H704</f>
        <v>Gaseous Fuels</v>
      </c>
      <c r="B55" s="86"/>
      <c r="C55" s="86"/>
      <c r="D55" s="90"/>
      <c r="E55" s="86"/>
    </row>
    <row r="56" spans="1:16" x14ac:dyDescent="0.3">
      <c r="A56" s="43"/>
      <c r="B56" s="43" t="str">
        <f ca="1">INDIRECT(CHAR(64+'Translation Table'!$D$1-6)&amp;ROW())</f>
        <v>Natural Gas</v>
      </c>
      <c r="C56" s="43" t="str">
        <f>'Translation Table'!I705</f>
        <v>Natural Gas</v>
      </c>
      <c r="D56" s="82" t="str">
        <f>'Translation Table'!J705 &amp; ""</f>
        <v>天然气</v>
      </c>
      <c r="E56" s="43" t="str">
        <f>'Translation Table'!K705 &amp; ""</f>
        <v>Gas Natural</v>
      </c>
      <c r="F56" s="41" t="str">
        <f>'Translation Table'!L705 &amp; ""</f>
        <v/>
      </c>
      <c r="G56" s="41" t="str">
        <f>'Translation Table'!M705 &amp; ""</f>
        <v/>
      </c>
      <c r="H56" s="41" t="str">
        <f>'Translation Table'!N705 &amp; ""</f>
        <v/>
      </c>
      <c r="I56" s="41" t="str">
        <f>'Translation Table'!O705 &amp; ""</f>
        <v/>
      </c>
      <c r="J56" s="41" t="str">
        <f>'Translation Table'!P705 &amp; ""</f>
        <v/>
      </c>
      <c r="K56" s="41" t="str">
        <f>'Translation Table'!Q705 &amp; ""</f>
        <v/>
      </c>
      <c r="L56" s="41" t="str">
        <f>'Translation Table'!R705 &amp; ""</f>
        <v/>
      </c>
      <c r="M56" s="41" t="str">
        <f>'Translation Table'!S705 &amp; ""</f>
        <v/>
      </c>
      <c r="N56" s="41" t="str">
        <f>'Translation Table'!T705 &amp; ""</f>
        <v/>
      </c>
      <c r="O56" s="41" t="str">
        <f>'Translation Table'!U705 &amp; ""</f>
        <v/>
      </c>
      <c r="P56" s="41" t="str">
        <f>'Translation Table'!V705 &amp; ""</f>
        <v/>
      </c>
    </row>
    <row r="57" spans="1:16" x14ac:dyDescent="0.3">
      <c r="A57" s="86"/>
      <c r="B57" s="86" t="str">
        <f ca="1">INDIRECT(CHAR(64+'Translation Table'!$D$1-6)&amp;ROW())</f>
        <v>Coke Oven Gas</v>
      </c>
      <c r="C57" s="86" t="str">
        <f>'Translation Table'!I706</f>
        <v>Coke Oven Gas</v>
      </c>
      <c r="D57" s="90" t="str">
        <f>'Translation Table'!J706 &amp; ""</f>
        <v>焦炭炉气</v>
      </c>
      <c r="E57" s="86" t="str">
        <f>'Translation Table'!K706 &amp; ""</f>
        <v>Gas de Horno de Coque</v>
      </c>
      <c r="F57" s="41" t="str">
        <f>'Translation Table'!L706 &amp; ""</f>
        <v/>
      </c>
      <c r="G57" s="41" t="str">
        <f>'Translation Table'!M706 &amp; ""</f>
        <v/>
      </c>
      <c r="H57" s="41" t="str">
        <f>'Translation Table'!N706 &amp; ""</f>
        <v/>
      </c>
      <c r="I57" s="41" t="str">
        <f>'Translation Table'!O706 &amp; ""</f>
        <v/>
      </c>
      <c r="J57" s="41" t="str">
        <f>'Translation Table'!P706 &amp; ""</f>
        <v/>
      </c>
      <c r="K57" s="41" t="str">
        <f>'Translation Table'!Q706 &amp; ""</f>
        <v/>
      </c>
      <c r="L57" s="41" t="str">
        <f>'Translation Table'!R706 &amp; ""</f>
        <v/>
      </c>
      <c r="M57" s="41" t="str">
        <f>'Translation Table'!S706 &amp; ""</f>
        <v/>
      </c>
      <c r="N57" s="41" t="str">
        <f>'Translation Table'!T706 &amp; ""</f>
        <v/>
      </c>
      <c r="O57" s="41" t="str">
        <f>'Translation Table'!U706 &amp; ""</f>
        <v/>
      </c>
      <c r="P57" s="41" t="str">
        <f>'Translation Table'!V706 &amp; ""</f>
        <v/>
      </c>
    </row>
    <row r="58" spans="1:16" x14ac:dyDescent="0.3">
      <c r="A58" s="43"/>
      <c r="B58" s="43" t="str">
        <f ca="1">INDIRECT(CHAR(64+'Translation Table'!$D$1-6)&amp;ROW())</f>
        <v>Blast Furnace Gas</v>
      </c>
      <c r="C58" s="43" t="str">
        <f>'Translation Table'!I707</f>
        <v>Blast Furnace Gas</v>
      </c>
      <c r="D58" s="82" t="str">
        <f>'Translation Table'!J707 &amp; ""</f>
        <v>鼓风炉</v>
      </c>
      <c r="E58" s="43" t="str">
        <f>'Translation Table'!K707 &amp; ""</f>
        <v>Gas de Alto Horno</v>
      </c>
      <c r="F58" s="41" t="str">
        <f>'Translation Table'!L707 &amp; ""</f>
        <v/>
      </c>
      <c r="G58" s="41" t="str">
        <f>'Translation Table'!M707 &amp; ""</f>
        <v/>
      </c>
      <c r="H58" s="41" t="str">
        <f>'Translation Table'!N707 &amp; ""</f>
        <v/>
      </c>
      <c r="I58" s="41" t="str">
        <f>'Translation Table'!O707 &amp; ""</f>
        <v/>
      </c>
      <c r="J58" s="41" t="str">
        <f>'Translation Table'!P707 &amp; ""</f>
        <v/>
      </c>
      <c r="K58" s="41" t="str">
        <f>'Translation Table'!Q707 &amp; ""</f>
        <v/>
      </c>
      <c r="L58" s="41" t="str">
        <f>'Translation Table'!R707 &amp; ""</f>
        <v/>
      </c>
      <c r="M58" s="41" t="str">
        <f>'Translation Table'!S707 &amp; ""</f>
        <v/>
      </c>
      <c r="N58" s="41" t="str">
        <f>'Translation Table'!T707 &amp; ""</f>
        <v/>
      </c>
      <c r="O58" s="41" t="str">
        <f>'Translation Table'!U707 &amp; ""</f>
        <v/>
      </c>
      <c r="P58" s="41" t="str">
        <f>'Translation Table'!V707 &amp; ""</f>
        <v/>
      </c>
    </row>
    <row r="59" spans="1:16" x14ac:dyDescent="0.3">
      <c r="A59" s="86"/>
      <c r="B59" s="86" t="str">
        <f ca="1">INDIRECT(CHAR(64+'Translation Table'!$D$1-6)&amp;ROW())</f>
        <v>Converter Gas</v>
      </c>
      <c r="C59" s="86" t="str">
        <f>'Translation Table'!I708</f>
        <v>Converter Gas</v>
      </c>
      <c r="D59" s="90" t="str">
        <f>'Translation Table'!J708 &amp; ""</f>
        <v>化学转换器的气体</v>
      </c>
      <c r="E59" s="86" t="str">
        <f>'Translation Table'!K708 &amp; ""</f>
        <v>Gas de Convertidor</v>
      </c>
      <c r="F59" s="41" t="str">
        <f>'Translation Table'!L708 &amp; ""</f>
        <v/>
      </c>
      <c r="G59" s="41" t="str">
        <f>'Translation Table'!M708 &amp; ""</f>
        <v/>
      </c>
      <c r="H59" s="41" t="str">
        <f>'Translation Table'!N708 &amp; ""</f>
        <v/>
      </c>
      <c r="I59" s="41" t="str">
        <f>'Translation Table'!O708 &amp; ""</f>
        <v/>
      </c>
      <c r="J59" s="41" t="str">
        <f>'Translation Table'!P708 &amp; ""</f>
        <v/>
      </c>
      <c r="K59" s="41" t="str">
        <f>'Translation Table'!Q708 &amp; ""</f>
        <v/>
      </c>
      <c r="L59" s="41" t="str">
        <f>'Translation Table'!R708 &amp; ""</f>
        <v/>
      </c>
      <c r="M59" s="41" t="str">
        <f>'Translation Table'!S708 &amp; ""</f>
        <v/>
      </c>
      <c r="N59" s="41" t="str">
        <f>'Translation Table'!T708 &amp; ""</f>
        <v/>
      </c>
      <c r="O59" s="41" t="str">
        <f>'Translation Table'!U708 &amp; ""</f>
        <v/>
      </c>
      <c r="P59" s="41" t="str">
        <f>'Translation Table'!V708 &amp; ""</f>
        <v/>
      </c>
    </row>
    <row r="60" spans="1:16" x14ac:dyDescent="0.3">
      <c r="A60" s="43"/>
      <c r="B60" s="43" t="str">
        <f ca="1">INDIRECT(CHAR(64+'Translation Table'!$D$1-6)&amp;ROW())</f>
        <v>Gas of Calcium Carbide Furnace</v>
      </c>
      <c r="C60" s="43" t="str">
        <f>'Translation Table'!I709</f>
        <v>Gas of Calcium Carbide Furnace</v>
      </c>
      <c r="D60" s="82" t="str">
        <f>'Translation Table'!J709 &amp; ""</f>
        <v>碳化鈣炉气</v>
      </c>
      <c r="E60" s="43" t="str">
        <f>'Translation Table'!K709 &amp; ""</f>
        <v>Gas de Horno de Carburo de Calcio</v>
      </c>
      <c r="F60" s="41" t="str">
        <f>'Translation Table'!L709 &amp; ""</f>
        <v/>
      </c>
      <c r="G60" s="41" t="str">
        <f>'Translation Table'!M709 &amp; ""</f>
        <v/>
      </c>
      <c r="H60" s="41" t="str">
        <f>'Translation Table'!N709 &amp; ""</f>
        <v/>
      </c>
      <c r="I60" s="41" t="str">
        <f>'Translation Table'!O709 &amp; ""</f>
        <v/>
      </c>
      <c r="J60" s="41" t="str">
        <f>'Translation Table'!P709 &amp; ""</f>
        <v/>
      </c>
      <c r="K60" s="41" t="str">
        <f>'Translation Table'!Q709 &amp; ""</f>
        <v/>
      </c>
      <c r="L60" s="41" t="str">
        <f>'Translation Table'!R709 &amp; ""</f>
        <v/>
      </c>
      <c r="M60" s="41" t="str">
        <f>'Translation Table'!S709 &amp; ""</f>
        <v/>
      </c>
      <c r="N60" s="41" t="str">
        <f>'Translation Table'!T709 &amp; ""</f>
        <v/>
      </c>
      <c r="O60" s="41" t="str">
        <f>'Translation Table'!U709 &amp; ""</f>
        <v/>
      </c>
      <c r="P60" s="41" t="str">
        <f>'Translation Table'!V709 &amp; ""</f>
        <v/>
      </c>
    </row>
    <row r="61" spans="1:16" x14ac:dyDescent="0.3">
      <c r="A61" s="86"/>
      <c r="B61" s="86" t="str">
        <f ca="1">INDIRECT(CHAR(64+'Translation Table'!$D$1-6)&amp;ROW())</f>
        <v>Other Coal Gases</v>
      </c>
      <c r="C61" s="86" t="str">
        <f>'Translation Table'!I710</f>
        <v>Other Coal Gases</v>
      </c>
      <c r="D61" s="90" t="str">
        <f>'Translation Table'!J710 &amp; ""</f>
        <v>其他煤碳气</v>
      </c>
      <c r="E61" s="86" t="str">
        <f>'Translation Table'!K710 &amp; ""</f>
        <v>Otros Gases de Carbón</v>
      </c>
      <c r="F61" s="41" t="str">
        <f>'Translation Table'!L710 &amp; ""</f>
        <v/>
      </c>
      <c r="G61" s="41" t="str">
        <f>'Translation Table'!M710 &amp; ""</f>
        <v/>
      </c>
      <c r="H61" s="41" t="str">
        <f>'Translation Table'!N710 &amp; ""</f>
        <v/>
      </c>
      <c r="I61" s="41" t="str">
        <f>'Translation Table'!O710 &amp; ""</f>
        <v/>
      </c>
      <c r="J61" s="41" t="str">
        <f>'Translation Table'!P710 &amp; ""</f>
        <v/>
      </c>
      <c r="K61" s="41" t="str">
        <f>'Translation Table'!Q710 &amp; ""</f>
        <v/>
      </c>
      <c r="L61" s="41" t="str">
        <f>'Translation Table'!R710 &amp; ""</f>
        <v/>
      </c>
      <c r="M61" s="41" t="str">
        <f>'Translation Table'!S710 &amp; ""</f>
        <v/>
      </c>
      <c r="N61" s="41" t="str">
        <f>'Translation Table'!T710 &amp; ""</f>
        <v/>
      </c>
      <c r="O61" s="41" t="str">
        <f>'Translation Table'!U710 &amp; ""</f>
        <v/>
      </c>
      <c r="P61" s="41" t="str">
        <f>'Translation Table'!V710 &amp; ""</f>
        <v/>
      </c>
    </row>
    <row r="62" spans="1:16" x14ac:dyDescent="0.3">
      <c r="A62" s="43" t="str">
        <f ca="1">'Translation Table'!H711</f>
        <v>Application Type</v>
      </c>
      <c r="B62" s="43"/>
      <c r="C62" s="43"/>
      <c r="D62" s="82"/>
      <c r="E62" s="43"/>
    </row>
    <row r="63" spans="1:16" x14ac:dyDescent="0.3">
      <c r="A63" s="86"/>
      <c r="B63" s="86" t="str">
        <f ca="1">INDIRECT(CHAR(64+'Translation Table'!$D$1-6)&amp;ROW())</f>
        <v>Gas Turbine</v>
      </c>
      <c r="C63" s="86" t="str">
        <f>'Translation Table'!I712</f>
        <v>Gas Turbine</v>
      </c>
      <c r="D63" s="90" t="str">
        <f>'Translation Table'!J712 &amp; ""</f>
        <v>燃气轮机</v>
      </c>
      <c r="E63" s="86" t="str">
        <f>'Translation Table'!K712 &amp; ""</f>
        <v>Turbina de gas</v>
      </c>
    </row>
    <row r="64" spans="1:16" x14ac:dyDescent="0.3">
      <c r="A64" s="43"/>
      <c r="B64" s="43" t="str">
        <f ca="1">INDIRECT(CHAR(64+'Translation Table'!$D$1-6)&amp;ROW())</f>
        <v>Gas Recip. Engine (2-Stroke Lean-Burn)</v>
      </c>
      <c r="C64" s="43" t="str">
        <f>'Translation Table'!I713</f>
        <v>Gas Recip. Engine (2-Stroke Lean-Burn)</v>
      </c>
      <c r="D64" s="82" t="str">
        <f>'Translation Table'!J713 &amp; ""</f>
        <v>气体接收。发动机（2 冲程稀薄燃烧</v>
      </c>
      <c r="E64" s="43" t="str">
        <f>'Translation Table'!K713 &amp; ""</f>
        <v>Receta de gasolina Motor (2 tiempos de mezcla pobre)</v>
      </c>
    </row>
    <row r="65" spans="1:16" x14ac:dyDescent="0.3">
      <c r="A65" s="86"/>
      <c r="B65" s="86" t="str">
        <f ca="1">INDIRECT(CHAR(64+'Translation Table'!$D$1-6)&amp;ROW())</f>
        <v>Gas Recip. Engine (4-Stroke Lean-Burn)</v>
      </c>
      <c r="C65" s="86" t="str">
        <f>'Translation Table'!I714</f>
        <v>Gas Recip. Engine (4-Stroke Lean-Burn)</v>
      </c>
      <c r="D65" s="90" t="str">
        <f>'Translation Table'!J714 &amp; ""</f>
        <v>气体接收。发动机（4 冲程稀薄燃烧</v>
      </c>
      <c r="E65" s="86" t="str">
        <f>'Translation Table'!K714 &amp; ""</f>
        <v>Receta de gasolina Motor (4 tiempos de mezcla pobre)</v>
      </c>
    </row>
    <row r="66" spans="1:16" x14ac:dyDescent="0.3">
      <c r="A66" s="43"/>
      <c r="B66" s="43" t="str">
        <f ca="1">INDIRECT(CHAR(64+'Translation Table'!$D$1-6)&amp;ROW())</f>
        <v>Gas Recip. Engine (4-Stroke Rich-Burn)</v>
      </c>
      <c r="C66" s="43" t="str">
        <f>'Translation Table'!I715</f>
        <v>Gas Recip. Engine (4-Stroke Rich-Burn)</v>
      </c>
      <c r="D66" s="82" t="str">
        <f>'Translation Table'!J715 &amp; ""</f>
        <v>气体接收。发动机（4 冲程富燃)</v>
      </c>
      <c r="E66" s="43" t="str">
        <f>'Translation Table'!K715 &amp; ""</f>
        <v>Receta de gasolina Motor (4 tiempos Rich-Burn)</v>
      </c>
    </row>
    <row r="67" spans="1:16" x14ac:dyDescent="0.3">
      <c r="A67" s="86"/>
      <c r="B67" s="86" t="str">
        <f ca="1">INDIRECT(CHAR(64+'Translation Table'!$D$1-6)&amp;ROW())</f>
        <v>Heaters &amp; Boilers</v>
      </c>
      <c r="C67" s="86" t="str">
        <f>'Translation Table'!I716</f>
        <v>Heaters &amp; Boilers</v>
      </c>
      <c r="D67" s="90" t="str">
        <f>'Translation Table'!J716 &amp; ""</f>
        <v>加热器和锅炉</v>
      </c>
      <c r="E67" s="86" t="str">
        <f>'Translation Table'!K716 &amp; ""</f>
        <v>Calentadores y Calderas</v>
      </c>
    </row>
    <row r="68" spans="1:16" x14ac:dyDescent="0.3">
      <c r="A68" s="43"/>
      <c r="B68" s="43" t="str">
        <f ca="1">INDIRECT(CHAR(64+'Translation Table'!$D$1-6)&amp;ROW())</f>
        <v>Heaters &amp; Boilers (Low-NOx)</v>
      </c>
      <c r="C68" s="43" t="str">
        <f>'Translation Table'!I717</f>
        <v>Heaters &amp; Boilers (Low-NOx)</v>
      </c>
      <c r="D68" s="82" t="str">
        <f>'Translation Table'!J717 &amp; ""</f>
        <v>加热器和锅炉（低氮氧化物)</v>
      </c>
      <c r="E68" s="43" t="str">
        <f>'Translation Table'!K717 &amp; ""</f>
        <v>Calentadores y Calderas (Bajo NOx)</v>
      </c>
    </row>
    <row r="69" spans="1:16" x14ac:dyDescent="0.3">
      <c r="A69" s="86" t="str">
        <f ca="1">'Translation Table'!H718</f>
        <v xml:space="preserve">Language </v>
      </c>
      <c r="B69" s="86"/>
      <c r="C69" s="86"/>
      <c r="D69" s="90"/>
      <c r="E69" s="86"/>
    </row>
    <row r="70" spans="1:16" x14ac:dyDescent="0.3">
      <c r="A70" s="43"/>
      <c r="B70" s="43" t="str">
        <f>'Translation Table'!I731  &amp; ""</f>
        <v>English</v>
      </c>
      <c r="C70" s="43"/>
      <c r="D70" s="82"/>
      <c r="E70" s="43"/>
      <c r="F70" s="41" t="str">
        <f>'Translation Table'!L719 &amp; ""</f>
        <v/>
      </c>
      <c r="G70" s="41" t="str">
        <f>'Translation Table'!M719 &amp; ""</f>
        <v/>
      </c>
      <c r="H70" s="41" t="str">
        <f>'Translation Table'!N719 &amp; ""</f>
        <v/>
      </c>
      <c r="I70" s="41" t="str">
        <f>'Translation Table'!O719 &amp; ""</f>
        <v/>
      </c>
      <c r="J70" s="41" t="str">
        <f>'Translation Table'!P719 &amp; ""</f>
        <v/>
      </c>
      <c r="K70" s="41" t="str">
        <f>'Translation Table'!Q719 &amp; ""</f>
        <v/>
      </c>
      <c r="L70" s="41" t="str">
        <f>'Translation Table'!R719 &amp; ""</f>
        <v/>
      </c>
      <c r="M70" s="41" t="str">
        <f>'Translation Table'!S719 &amp; ""</f>
        <v/>
      </c>
      <c r="N70" s="41" t="str">
        <f>'Translation Table'!T719 &amp; ""</f>
        <v/>
      </c>
      <c r="O70" s="41" t="str">
        <f>'Translation Table'!U719 &amp; ""</f>
        <v/>
      </c>
      <c r="P70" s="41" t="str">
        <f>'Translation Table'!V719 &amp; ""</f>
        <v/>
      </c>
    </row>
    <row r="71" spans="1:16" x14ac:dyDescent="0.3">
      <c r="A71" s="86"/>
      <c r="B71" s="86" t="str">
        <f>'Translation Table'!J732  &amp; ""</f>
        <v>中文</v>
      </c>
      <c r="C71" s="86"/>
      <c r="D71" s="90"/>
      <c r="E71" s="86"/>
      <c r="F71" s="41" t="str">
        <f>'Translation Table'!L720 &amp; ""</f>
        <v/>
      </c>
      <c r="G71" s="41" t="str">
        <f>'Translation Table'!M720 &amp; ""</f>
        <v/>
      </c>
      <c r="H71" s="41" t="str">
        <f>'Translation Table'!N720 &amp; ""</f>
        <v/>
      </c>
      <c r="I71" s="41" t="str">
        <f>'Translation Table'!O720 &amp; ""</f>
        <v/>
      </c>
      <c r="J71" s="41" t="str">
        <f>'Translation Table'!P720 &amp; ""</f>
        <v/>
      </c>
      <c r="K71" s="41" t="str">
        <f>'Translation Table'!Q720 &amp; ""</f>
        <v/>
      </c>
      <c r="L71" s="41" t="str">
        <f>'Translation Table'!R720 &amp; ""</f>
        <v/>
      </c>
      <c r="M71" s="41" t="str">
        <f>'Translation Table'!S720 &amp; ""</f>
        <v/>
      </c>
      <c r="N71" s="41" t="str">
        <f>'Translation Table'!T720 &amp; ""</f>
        <v/>
      </c>
      <c r="O71" s="41" t="str">
        <f>'Translation Table'!U720 &amp; ""</f>
        <v/>
      </c>
      <c r="P71" s="41" t="str">
        <f>'Translation Table'!V720 &amp; ""</f>
        <v/>
      </c>
    </row>
    <row r="72" spans="1:16" x14ac:dyDescent="0.3">
      <c r="A72" s="43"/>
      <c r="B72" s="43" t="str">
        <f>'Translation Table'!K733 &amp; ""</f>
        <v>Español (Colombia)</v>
      </c>
      <c r="C72" s="43"/>
      <c r="D72" s="82"/>
      <c r="E72" s="43"/>
      <c r="F72" s="41" t="str">
        <f>'Translation Table'!L721 &amp; ""</f>
        <v/>
      </c>
      <c r="G72" s="41" t="str">
        <f>'Translation Table'!M721 &amp; ""</f>
        <v/>
      </c>
      <c r="H72" s="41" t="str">
        <f>'Translation Table'!N721 &amp; ""</f>
        <v/>
      </c>
      <c r="I72" s="41" t="str">
        <f>'Translation Table'!O721 &amp; ""</f>
        <v/>
      </c>
      <c r="J72" s="41" t="str">
        <f>'Translation Table'!P721 &amp; ""</f>
        <v/>
      </c>
      <c r="K72" s="41" t="str">
        <f>'Translation Table'!Q721 &amp; ""</f>
        <v/>
      </c>
      <c r="L72" s="41" t="str">
        <f>'Translation Table'!R721 &amp; ""</f>
        <v/>
      </c>
      <c r="M72" s="41" t="str">
        <f>'Translation Table'!S721 &amp; ""</f>
        <v/>
      </c>
      <c r="N72" s="41" t="str">
        <f>'Translation Table'!T721 &amp; ""</f>
        <v/>
      </c>
      <c r="O72" s="41" t="str">
        <f>'Translation Table'!U721 &amp; ""</f>
        <v/>
      </c>
      <c r="P72" s="41" t="str">
        <f>'Translation Table'!V721 &amp; ""</f>
        <v/>
      </c>
    </row>
    <row r="73" spans="1:16" x14ac:dyDescent="0.3">
      <c r="B73" s="41" t="str">
        <f>'Translation Table'!L734 &amp; ""</f>
        <v/>
      </c>
    </row>
    <row r="74" spans="1:16" x14ac:dyDescent="0.3">
      <c r="B74" s="41" t="str">
        <f>'Translation Table'!M735 &amp; ""</f>
        <v/>
      </c>
    </row>
    <row r="75" spans="1:16" x14ac:dyDescent="0.3">
      <c r="B75" s="41" t="str">
        <f>'Translation Table'!N736 &amp; ""</f>
        <v/>
      </c>
    </row>
    <row r="76" spans="1:16" x14ac:dyDescent="0.3">
      <c r="B76" s="41" t="str">
        <f>'Translation Table'!O737 &amp; ""</f>
        <v/>
      </c>
    </row>
    <row r="77" spans="1:16" x14ac:dyDescent="0.3">
      <c r="B77" s="41" t="str">
        <f>'Translation Table'!P738 &amp; ""</f>
        <v/>
      </c>
    </row>
    <row r="78" spans="1:16" x14ac:dyDescent="0.3">
      <c r="B78" s="41" t="str">
        <f>'Translation Table'!Q739 &amp; ""</f>
        <v/>
      </c>
    </row>
    <row r="79" spans="1:16" x14ac:dyDescent="0.3">
      <c r="B79" s="41" t="str">
        <f>'Translation Table'!R740 &amp; ""</f>
        <v/>
      </c>
    </row>
    <row r="80" spans="1:16" x14ac:dyDescent="0.3">
      <c r="B80" s="41" t="str">
        <f>'Translation Table'!S741 &amp; ""</f>
        <v/>
      </c>
    </row>
    <row r="81" spans="2:2" x14ac:dyDescent="0.3">
      <c r="B81" s="41" t="str">
        <f>'Translation Table'!T742 &amp; ""</f>
        <v/>
      </c>
    </row>
    <row r="82" spans="2:2" x14ac:dyDescent="0.3">
      <c r="B82" s="41" t="str">
        <f>'Translation Table'!U743 &amp; ""</f>
        <v/>
      </c>
    </row>
    <row r="83" spans="2:2" x14ac:dyDescent="0.3">
      <c r="B83" s="41" t="str">
        <f>'Translation Table'!V744 &amp; ""</f>
        <v/>
      </c>
    </row>
  </sheetData>
  <sheetProtection algorithmName="SHA-512" hashValue="uCdb8QL2ACnggzcNaK2A8X3LbtGNrFxwF3DDWAjHEcbp8tSY5e/MsnJslOXdtxoVLh5VU6lK3WV+VQEiQMxs8w==" saltValue="1nnt1N58Jle4rbTressD8Q==" spinCount="100000" sheet="1" objects="1" scenarios="1"/>
  <conditionalFormatting sqref="D2:P2">
    <cfRule type="notContainsBlanks" dxfId="0" priority="1">
      <formula>LEN(TRIM(D2))&gt;0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F199"/>
  </sheetPr>
  <dimension ref="A1:AJ733"/>
  <sheetViews>
    <sheetView workbookViewId="0"/>
  </sheetViews>
  <sheetFormatPr defaultColWidth="9.1796875" defaultRowHeight="14.5" x14ac:dyDescent="0.35"/>
  <cols>
    <col min="1" max="1" width="30.453125" customWidth="1"/>
    <col min="2" max="2" width="16.81640625" bestFit="1" customWidth="1"/>
    <col min="3" max="3" width="36.81640625" customWidth="1"/>
    <col min="4" max="4" width="17.453125" style="10" bestFit="1" customWidth="1"/>
    <col min="7" max="7" width="15.453125" bestFit="1" customWidth="1"/>
    <col min="8" max="8" width="50.1796875" customWidth="1"/>
    <col min="9" max="9" width="57.1796875" customWidth="1"/>
    <col min="10" max="10" width="31.1796875" customWidth="1"/>
    <col min="11" max="11" width="49.81640625" customWidth="1"/>
    <col min="12" max="12" width="15.81640625" customWidth="1"/>
    <col min="13" max="13" width="13" customWidth="1"/>
    <col min="14" max="14" width="14.1796875" customWidth="1"/>
    <col min="15" max="15" width="25.81640625" customWidth="1"/>
  </cols>
  <sheetData>
    <row r="1" spans="1:15" x14ac:dyDescent="0.35">
      <c r="A1" t="str">
        <f ca="1">H722</f>
        <v>Language</v>
      </c>
      <c r="B1" t="str">
        <f>'Setup - IPCC Assessment'!J1</f>
        <v>English</v>
      </c>
      <c r="C1" t="str">
        <f ca="1">CHAR(64+D1)</f>
        <v>I</v>
      </c>
      <c r="D1" s="10">
        <f t="array" aca="1" ref="D1" ca="1">MIN(IF(I731:INDIRECT("Z" &amp;3017)=B1,COLUMN(INDIRECT("I:Z"))))</f>
        <v>9</v>
      </c>
    </row>
    <row r="3" spans="1:15" x14ac:dyDescent="0.35">
      <c r="A3" s="6" t="str">
        <f ca="1">H723</f>
        <v>Worksheet</v>
      </c>
      <c r="B3" s="6" t="str">
        <f ca="1">H724</f>
        <v>Worksheet No.</v>
      </c>
      <c r="C3" s="6" t="str">
        <f ca="1">H725</f>
        <v>Table/Block</v>
      </c>
      <c r="D3" s="22" t="str">
        <f ca="1">H726</f>
        <v>Table/Block No.</v>
      </c>
      <c r="E3" s="6" t="str">
        <f ca="1">H727</f>
        <v>Row</v>
      </c>
      <c r="F3" s="6" t="str">
        <f ca="1">H728</f>
        <v>Column</v>
      </c>
      <c r="G3" s="6" t="str">
        <f ca="1">H729</f>
        <v>Type</v>
      </c>
      <c r="H3" s="6" t="str">
        <f ca="1">H730</f>
        <v>Active</v>
      </c>
      <c r="I3" s="6" t="str">
        <f ca="1">H731</f>
        <v>English</v>
      </c>
      <c r="J3" s="6" t="str">
        <f ca="1">H732</f>
        <v>Chinese</v>
      </c>
      <c r="K3" s="6" t="str">
        <f>H733</f>
        <v>Spanish (Colombia)</v>
      </c>
      <c r="L3" s="13"/>
      <c r="M3" s="13"/>
      <c r="N3" s="13"/>
      <c r="O3" s="13"/>
    </row>
    <row r="4" spans="1:15" x14ac:dyDescent="0.35">
      <c r="A4" s="2" t="s">
        <v>1202</v>
      </c>
      <c r="B4" s="2">
        <v>0</v>
      </c>
      <c r="C4" s="2" t="s">
        <v>776</v>
      </c>
      <c r="D4" s="8">
        <v>1</v>
      </c>
      <c r="E4" s="4">
        <v>1</v>
      </c>
      <c r="F4" s="4" t="s">
        <v>241</v>
      </c>
      <c r="G4" s="8" t="s">
        <v>248</v>
      </c>
      <c r="H4" s="8" t="str">
        <f t="shared" ref="H4:H38" ca="1" si="0">IF(INDIRECT($C$1&amp;ROW())="","",INDIRECT($C$1&amp;ROW()))</f>
        <v>Prepared for US Environmental Protection Agency by Tetra Tech and Clearstone Engineering Ltd.</v>
      </c>
      <c r="I4" s="2" t="s">
        <v>1166</v>
      </c>
      <c r="J4" s="2" t="s">
        <v>1166</v>
      </c>
      <c r="K4" s="2" t="s">
        <v>1166</v>
      </c>
      <c r="L4" s="13"/>
      <c r="M4" s="13"/>
      <c r="N4" s="13"/>
      <c r="O4" s="13"/>
    </row>
    <row r="5" spans="1:15" x14ac:dyDescent="0.35">
      <c r="A5" s="2" t="s">
        <v>359</v>
      </c>
      <c r="B5" s="2">
        <v>0</v>
      </c>
      <c r="C5" s="2" t="s">
        <v>776</v>
      </c>
      <c r="D5" s="8">
        <v>1</v>
      </c>
      <c r="E5" s="4">
        <v>1</v>
      </c>
      <c r="F5" s="4" t="s">
        <v>241</v>
      </c>
      <c r="G5" s="8" t="s">
        <v>248</v>
      </c>
      <c r="H5" s="8" t="str">
        <f t="shared" ca="1" si="0"/>
        <v>Which language would you like to pick?</v>
      </c>
      <c r="I5" s="2" t="s">
        <v>651</v>
      </c>
      <c r="J5" s="2" t="s">
        <v>801</v>
      </c>
      <c r="K5" s="2" t="s">
        <v>802</v>
      </c>
      <c r="L5" s="13"/>
      <c r="M5" s="13"/>
      <c r="N5" s="13"/>
      <c r="O5" s="13"/>
    </row>
    <row r="6" spans="1:15" x14ac:dyDescent="0.35">
      <c r="A6" s="2" t="s">
        <v>359</v>
      </c>
      <c r="B6" s="2">
        <v>0</v>
      </c>
      <c r="C6" s="2" t="s">
        <v>776</v>
      </c>
      <c r="D6" s="8">
        <v>1</v>
      </c>
      <c r="E6" s="4">
        <v>2</v>
      </c>
      <c r="F6" s="4" t="s">
        <v>241</v>
      </c>
      <c r="G6" s="8" t="s">
        <v>248</v>
      </c>
      <c r="H6" s="8" t="str">
        <f t="shared" ca="1" si="0"/>
        <v>Language:</v>
      </c>
      <c r="I6" s="2" t="s">
        <v>799</v>
      </c>
      <c r="J6" s="2" t="s">
        <v>800</v>
      </c>
      <c r="K6" s="2" t="s">
        <v>803</v>
      </c>
      <c r="L6" s="13"/>
      <c r="M6" s="13"/>
      <c r="N6" s="13"/>
      <c r="O6" s="13"/>
    </row>
    <row r="7" spans="1:15" x14ac:dyDescent="0.35">
      <c r="A7" s="2" t="s">
        <v>359</v>
      </c>
      <c r="B7" s="2">
        <v>0</v>
      </c>
      <c r="C7" s="2" t="s">
        <v>776</v>
      </c>
      <c r="D7" s="8">
        <v>1</v>
      </c>
      <c r="E7" s="2">
        <v>4</v>
      </c>
      <c r="F7" s="2" t="s">
        <v>241</v>
      </c>
      <c r="G7" s="8" t="s">
        <v>248</v>
      </c>
      <c r="H7" s="8" t="str">
        <f t="shared" ca="1" si="0"/>
        <v>Introduction:</v>
      </c>
      <c r="I7" s="2" t="s">
        <v>771</v>
      </c>
      <c r="J7" s="2" t="s">
        <v>793</v>
      </c>
      <c r="K7" s="2" t="s">
        <v>779</v>
      </c>
      <c r="L7" s="13"/>
      <c r="M7" s="13"/>
      <c r="N7" s="13"/>
      <c r="O7" s="13"/>
    </row>
    <row r="8" spans="1:15" x14ac:dyDescent="0.35">
      <c r="A8" s="2" t="s">
        <v>359</v>
      </c>
      <c r="B8" s="2">
        <v>0</v>
      </c>
      <c r="C8" s="2" t="s">
        <v>776</v>
      </c>
      <c r="D8" s="8">
        <v>1</v>
      </c>
      <c r="E8" s="2">
        <v>6</v>
      </c>
      <c r="F8" s="2" t="s">
        <v>241</v>
      </c>
      <c r="G8" s="8" t="s">
        <v>248</v>
      </c>
      <c r="H8" s="8" t="str">
        <f t="shared" ca="1" si="0"/>
        <v>This spreadsheet tool assesses atmospheric emissions of greenhouses gases (GHG) (i.e., CH4, CO2, N2O and CO2E) as well as selected criteria air contaminants (CAC) (i.e., NOx, CO, NMVOCs, and SO2) for oil and natural gas systems by segment (or subsector) using IPCC Tier-1 and Tier-2 methods. The results are presented in accordance with the UNFCCC common reporting format (CRF). The required input information is national statistics for the relevant activities and any Tier-2 emission factors that the user may wish to apply. All Tier-1 emission factors are already available in the this tool and are used by default in the absence of any Tier-2  emission factors. Tier-2 emission factors are determined by a jurisdiction based on the results of a rigorous bottom-up emissions assessment in a given year.</v>
      </c>
      <c r="I8" s="195" t="s">
        <v>1203</v>
      </c>
      <c r="J8" s="2"/>
      <c r="K8" s="2"/>
      <c r="L8" s="13"/>
      <c r="M8" s="13"/>
      <c r="N8" s="13"/>
      <c r="O8" s="13"/>
    </row>
    <row r="9" spans="1:15" x14ac:dyDescent="0.35">
      <c r="A9" s="2" t="s">
        <v>359</v>
      </c>
      <c r="B9" s="2">
        <v>0</v>
      </c>
      <c r="C9" s="2" t="s">
        <v>776</v>
      </c>
      <c r="D9" s="8">
        <v>1</v>
      </c>
      <c r="E9" s="2">
        <v>8</v>
      </c>
      <c r="F9" s="2" t="s">
        <v>241</v>
      </c>
      <c r="G9" s="8" t="s">
        <v>248</v>
      </c>
      <c r="H9" s="8" t="str">
        <f t="shared" ca="1" si="0"/>
        <v>The assessment results are summarized on the “Results (Tabular)” worksheet by primary source category and type of GHG.</v>
      </c>
      <c r="I9" s="194" t="s">
        <v>1223</v>
      </c>
      <c r="J9" s="2" t="s">
        <v>786</v>
      </c>
      <c r="K9" s="2" t="s">
        <v>1224</v>
      </c>
      <c r="L9" s="13"/>
      <c r="M9" s="13"/>
      <c r="N9" s="13"/>
      <c r="O9" s="13"/>
    </row>
    <row r="10" spans="1:15" x14ac:dyDescent="0.35">
      <c r="A10" s="2" t="s">
        <v>359</v>
      </c>
      <c r="B10" s="2">
        <v>0</v>
      </c>
      <c r="C10" s="2" t="s">
        <v>776</v>
      </c>
      <c r="D10" s="8">
        <v>1</v>
      </c>
      <c r="E10" s="2">
        <v>12</v>
      </c>
      <c r="F10" s="2" t="s">
        <v>241</v>
      </c>
      <c r="G10" s="8" t="s">
        <v>248</v>
      </c>
      <c r="H10" s="8" t="str">
        <f t="shared" ca="1" si="0"/>
        <v xml:space="preserve">Additional information on this spreadsheet tool is provided in the user's manual. </v>
      </c>
      <c r="I10" s="195" t="s">
        <v>777</v>
      </c>
      <c r="J10" s="2" t="s">
        <v>787</v>
      </c>
      <c r="K10" s="2" t="s">
        <v>780</v>
      </c>
      <c r="L10" s="13"/>
      <c r="M10" s="13"/>
      <c r="N10" s="13"/>
      <c r="O10" s="13"/>
    </row>
    <row r="11" spans="1:15" x14ac:dyDescent="0.35">
      <c r="A11" s="2" t="s">
        <v>359</v>
      </c>
      <c r="B11" s="2">
        <v>0</v>
      </c>
      <c r="C11" s="2" t="s">
        <v>776</v>
      </c>
      <c r="D11" s="8">
        <v>1</v>
      </c>
      <c r="E11" s="2">
        <v>14</v>
      </c>
      <c r="F11" s="2" t="s">
        <v>241</v>
      </c>
      <c r="G11" s="8" t="s">
        <v>248</v>
      </c>
      <c r="H11" s="8" t="str">
        <f t="shared" ca="1" si="0"/>
        <v>Language Options:</v>
      </c>
      <c r="I11" s="195" t="s">
        <v>772</v>
      </c>
      <c r="J11" s="2" t="s">
        <v>788</v>
      </c>
      <c r="K11" s="2" t="s">
        <v>781</v>
      </c>
      <c r="L11" s="13"/>
      <c r="M11" s="13"/>
      <c r="N11" s="13"/>
      <c r="O11" s="13"/>
    </row>
    <row r="12" spans="1:15" x14ac:dyDescent="0.35">
      <c r="A12" s="2" t="s">
        <v>359</v>
      </c>
      <c r="B12" s="2">
        <v>0</v>
      </c>
      <c r="C12" s="2" t="s">
        <v>776</v>
      </c>
      <c r="D12" s="8">
        <v>1</v>
      </c>
      <c r="E12" s="2">
        <v>16</v>
      </c>
      <c r="F12" s="2" t="s">
        <v>241</v>
      </c>
      <c r="G12" s="8" t="s">
        <v>248</v>
      </c>
      <c r="H12" s="8" t="str">
        <f t="shared" ca="1" si="0"/>
        <v>This tool currently supports English, Mandarin Chinese and Spanish. The language of choice may be selected using the selection feature presented at the top of this worksheet.</v>
      </c>
      <c r="I12" s="195" t="s">
        <v>773</v>
      </c>
      <c r="J12" s="2" t="s">
        <v>789</v>
      </c>
      <c r="K12" s="2" t="s">
        <v>782</v>
      </c>
      <c r="L12" s="13"/>
      <c r="M12" s="13"/>
      <c r="N12" s="13"/>
      <c r="O12" s="13"/>
    </row>
    <row r="13" spans="1:15" x14ac:dyDescent="0.35">
      <c r="A13" s="2" t="s">
        <v>359</v>
      </c>
      <c r="B13" s="2">
        <v>0</v>
      </c>
      <c r="C13" s="2" t="s">
        <v>776</v>
      </c>
      <c r="D13" s="8">
        <v>1</v>
      </c>
      <c r="E13" s="2">
        <v>18</v>
      </c>
      <c r="F13" s="2" t="s">
        <v>241</v>
      </c>
      <c r="G13" s="8" t="s">
        <v>248</v>
      </c>
      <c r="H13" s="8" t="str">
        <f t="shared" ca="1" si="0"/>
        <v>Navigation and Colour Coding Rules:</v>
      </c>
      <c r="I13" s="195" t="s">
        <v>774</v>
      </c>
      <c r="J13" s="2" t="s">
        <v>790</v>
      </c>
      <c r="K13" s="2" t="s">
        <v>783</v>
      </c>
      <c r="L13" s="13"/>
      <c r="M13" s="13"/>
      <c r="N13" s="13"/>
      <c r="O13" s="13"/>
    </row>
    <row r="14" spans="1:15" x14ac:dyDescent="0.35">
      <c r="A14" s="2" t="s">
        <v>359</v>
      </c>
      <c r="B14" s="2">
        <v>0</v>
      </c>
      <c r="C14" s="2" t="s">
        <v>776</v>
      </c>
      <c r="D14" s="8">
        <v>1</v>
      </c>
      <c r="E14" s="2">
        <v>20</v>
      </c>
      <c r="F14" s="2" t="s">
        <v>241</v>
      </c>
      <c r="G14" s="8" t="s">
        <v>248</v>
      </c>
      <c r="H14" s="8" t="str">
        <f t="shared" ca="1" si="0"/>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I14" s="195" t="s">
        <v>775</v>
      </c>
      <c r="J14" s="2" t="s">
        <v>791</v>
      </c>
      <c r="K14" s="2" t="s">
        <v>784</v>
      </c>
      <c r="L14" s="13"/>
      <c r="M14" s="13"/>
      <c r="N14" s="13"/>
      <c r="O14" s="13"/>
    </row>
    <row r="15" spans="1:15" x14ac:dyDescent="0.35">
      <c r="A15" s="2" t="s">
        <v>359</v>
      </c>
      <c r="B15" s="2">
        <v>0</v>
      </c>
      <c r="C15" s="2" t="s">
        <v>776</v>
      </c>
      <c r="D15" s="8">
        <v>1</v>
      </c>
      <c r="E15" s="2">
        <v>22</v>
      </c>
      <c r="F15" s="2" t="s">
        <v>241</v>
      </c>
      <c r="G15" s="8" t="s">
        <v>248</v>
      </c>
      <c r="H15" s="8" t="str">
        <f t="shared" ca="1" si="0"/>
        <v>Calculations Setup</v>
      </c>
      <c r="I15" s="195" t="s">
        <v>1182</v>
      </c>
      <c r="J15" s="2"/>
      <c r="K15" s="2"/>
      <c r="L15" s="13"/>
      <c r="M15" s="13"/>
      <c r="N15" s="13"/>
      <c r="O15" s="13"/>
    </row>
    <row r="16" spans="1:15" x14ac:dyDescent="0.35">
      <c r="A16" s="2" t="s">
        <v>359</v>
      </c>
      <c r="B16" s="2">
        <v>0</v>
      </c>
      <c r="C16" s="2" t="s">
        <v>776</v>
      </c>
      <c r="D16" s="8">
        <v>1</v>
      </c>
      <c r="E16" s="2">
        <v>24</v>
      </c>
      <c r="F16" s="2" t="s">
        <v>241</v>
      </c>
      <c r="G16" s="8" t="s">
        <v>248</v>
      </c>
      <c r="H16" s="8" t="str">
        <f t="shared" ca="1" si="0"/>
        <v>The “Setup – IPCC Assessment” worksheet is where the user defines which segments of a jurisdiction's oil and natural gas systems apply and providing corresponding activity data. The form allows the user to select different units of  measure. This is also where any Tier-2 emission factors would be entered.</v>
      </c>
      <c r="I16" s="195" t="s">
        <v>1225</v>
      </c>
      <c r="J16" s="2"/>
      <c r="K16" s="2"/>
      <c r="L16" s="13"/>
      <c r="M16" s="13"/>
      <c r="N16" s="13"/>
      <c r="O16" s="13"/>
    </row>
    <row r="17" spans="1:15" x14ac:dyDescent="0.35">
      <c r="A17" s="2" t="s">
        <v>359</v>
      </c>
      <c r="B17" s="2">
        <v>0</v>
      </c>
      <c r="C17" s="2" t="s">
        <v>776</v>
      </c>
      <c r="D17" s="8">
        <v>1</v>
      </c>
      <c r="E17" s="2">
        <v>31</v>
      </c>
      <c r="F17" s="2" t="s">
        <v>241</v>
      </c>
      <c r="G17" s="8" t="s">
        <v>248</v>
      </c>
      <c r="H17" s="8" t="str">
        <f t="shared" ca="1" si="0"/>
        <v>Applied Assessment Methodology:</v>
      </c>
      <c r="I17" s="195" t="s">
        <v>778</v>
      </c>
      <c r="J17" s="2" t="s">
        <v>792</v>
      </c>
      <c r="K17" s="2" t="s">
        <v>785</v>
      </c>
      <c r="L17" s="13"/>
      <c r="M17" s="13"/>
      <c r="N17" s="13"/>
      <c r="O17" s="13"/>
    </row>
    <row r="18" spans="1:15" x14ac:dyDescent="0.35">
      <c r="A18" s="2" t="s">
        <v>359</v>
      </c>
      <c r="B18" s="2">
        <v>0</v>
      </c>
      <c r="C18" s="2" t="s">
        <v>776</v>
      </c>
      <c r="D18" s="8">
        <v>1</v>
      </c>
      <c r="E18" s="2">
        <v>33</v>
      </c>
      <c r="F18" s="2" t="s">
        <v>241</v>
      </c>
      <c r="G18" s="8" t="s">
        <v>248</v>
      </c>
      <c r="H18" s="8" t="str">
        <f t="shared" ca="1" si="0"/>
        <v>Total GHG and CAC emissions for each segment of a jurisdiction's oil and natural gas systems are estimated using applicable national statistics and either a Tier-1 (by default) or Tier-2 (if available) emissions factor. The Tier-1 emission factors are from the 2019 refined IPCC Guidelines for Stationary Combustion (Chapter 2) and the Fugitive Emissions ( Chapter 4).</v>
      </c>
      <c r="I18" s="194" t="s">
        <v>1204</v>
      </c>
      <c r="K18" s="21"/>
    </row>
    <row r="19" spans="1:15" x14ac:dyDescent="0.35">
      <c r="A19" s="2" t="s">
        <v>976</v>
      </c>
      <c r="B19" s="2">
        <v>1</v>
      </c>
      <c r="C19" s="2" t="s">
        <v>804</v>
      </c>
      <c r="D19" s="8">
        <v>2</v>
      </c>
      <c r="E19" s="2">
        <v>45</v>
      </c>
      <c r="F19" s="2" t="s">
        <v>241</v>
      </c>
      <c r="G19" s="8" t="s">
        <v>242</v>
      </c>
      <c r="H19" s="8" t="str">
        <f t="shared" ca="1" si="0"/>
        <v>Table of Contents</v>
      </c>
      <c r="I19" s="20" t="s">
        <v>975</v>
      </c>
      <c r="J19" t="s">
        <v>816</v>
      </c>
      <c r="K19" s="21" t="s">
        <v>817</v>
      </c>
    </row>
    <row r="20" spans="1:15" x14ac:dyDescent="0.35">
      <c r="A20" s="2" t="s">
        <v>976</v>
      </c>
      <c r="B20" s="2">
        <v>1</v>
      </c>
      <c r="C20" s="2" t="s">
        <v>804</v>
      </c>
      <c r="D20" s="8">
        <v>2</v>
      </c>
      <c r="E20" s="2">
        <v>47</v>
      </c>
      <c r="F20" s="2" t="s">
        <v>241</v>
      </c>
      <c r="G20" s="8" t="s">
        <v>249</v>
      </c>
      <c r="H20" s="8" t="str">
        <f t="shared" ca="1" si="0"/>
        <v>Tab Name</v>
      </c>
      <c r="I20" s="20" t="s">
        <v>804</v>
      </c>
      <c r="J20" t="s">
        <v>807</v>
      </c>
      <c r="K20" s="21" t="s">
        <v>806</v>
      </c>
    </row>
    <row r="21" spans="1:15" x14ac:dyDescent="0.35">
      <c r="A21" s="2" t="s">
        <v>976</v>
      </c>
      <c r="B21" s="2">
        <v>1</v>
      </c>
      <c r="C21" s="2" t="s">
        <v>804</v>
      </c>
      <c r="D21" s="8">
        <v>2</v>
      </c>
      <c r="E21" s="2">
        <v>47</v>
      </c>
      <c r="F21" s="2" t="s">
        <v>27</v>
      </c>
      <c r="G21" s="8" t="s">
        <v>249</v>
      </c>
      <c r="H21" s="8" t="str">
        <f t="shared" ca="1" si="0"/>
        <v>Translated Tab Name</v>
      </c>
      <c r="I21" s="20" t="s">
        <v>805</v>
      </c>
      <c r="J21" t="s">
        <v>808</v>
      </c>
      <c r="K21" s="21" t="s">
        <v>809</v>
      </c>
    </row>
    <row r="22" spans="1:15" x14ac:dyDescent="0.35">
      <c r="A22" s="2" t="s">
        <v>976</v>
      </c>
      <c r="B22" s="2">
        <v>1</v>
      </c>
      <c r="C22" s="2" t="s">
        <v>804</v>
      </c>
      <c r="D22" s="8">
        <v>2</v>
      </c>
      <c r="E22" s="2">
        <v>47</v>
      </c>
      <c r="F22" s="2" t="s">
        <v>246</v>
      </c>
      <c r="G22" s="8" t="s">
        <v>248</v>
      </c>
      <c r="H22" s="8" t="str">
        <f t="shared" ca="1" si="0"/>
        <v>Hyperlink</v>
      </c>
      <c r="I22" s="20" t="s">
        <v>810</v>
      </c>
      <c r="J22" t="s">
        <v>811</v>
      </c>
      <c r="K22" s="21" t="s">
        <v>812</v>
      </c>
    </row>
    <row r="23" spans="1:15" x14ac:dyDescent="0.35">
      <c r="A23" s="2" t="s">
        <v>976</v>
      </c>
      <c r="B23" s="2">
        <v>1</v>
      </c>
      <c r="C23" s="2" t="s">
        <v>804</v>
      </c>
      <c r="D23" s="8">
        <v>2</v>
      </c>
      <c r="E23" s="2">
        <v>47</v>
      </c>
      <c r="F23" s="2" t="s">
        <v>246</v>
      </c>
      <c r="G23" s="8" t="s">
        <v>248</v>
      </c>
      <c r="H23" s="8" t="str">
        <f t="shared" ca="1" si="0"/>
        <v>Go To Sheet</v>
      </c>
      <c r="I23" s="20" t="s">
        <v>813</v>
      </c>
      <c r="J23" t="s">
        <v>815</v>
      </c>
      <c r="K23" s="21" t="s">
        <v>814</v>
      </c>
    </row>
    <row r="24" spans="1:15" x14ac:dyDescent="0.35">
      <c r="A24" s="2" t="s">
        <v>976</v>
      </c>
      <c r="B24" s="2">
        <v>1</v>
      </c>
      <c r="C24" s="2" t="s">
        <v>804</v>
      </c>
      <c r="D24" s="8">
        <v>2</v>
      </c>
      <c r="E24" s="2">
        <v>47</v>
      </c>
      <c r="F24" s="2" t="s">
        <v>246</v>
      </c>
      <c r="G24" s="8" t="s">
        <v>248</v>
      </c>
      <c r="H24" s="8" t="str">
        <f t="shared" ca="1" si="0"/>
        <v>Go To 'Contents'</v>
      </c>
      <c r="I24" s="20" t="s">
        <v>1172</v>
      </c>
      <c r="K24" s="21"/>
    </row>
    <row r="25" spans="1:15" x14ac:dyDescent="0.35">
      <c r="A25" s="2" t="s">
        <v>976</v>
      </c>
      <c r="B25" s="2">
        <v>1</v>
      </c>
      <c r="C25" s="2" t="s">
        <v>804</v>
      </c>
      <c r="D25" s="8">
        <v>2</v>
      </c>
      <c r="E25" s="2">
        <v>48</v>
      </c>
      <c r="F25" s="2" t="s">
        <v>27</v>
      </c>
      <c r="G25" s="8" t="s">
        <v>248</v>
      </c>
      <c r="H25" s="8" t="str">
        <f t="shared" ca="1" si="0"/>
        <v>Language &amp; User Guidance</v>
      </c>
      <c r="I25" s="20" t="s">
        <v>985</v>
      </c>
      <c r="J25" t="s">
        <v>987</v>
      </c>
      <c r="K25" s="21" t="s">
        <v>986</v>
      </c>
    </row>
    <row r="26" spans="1:15" x14ac:dyDescent="0.35">
      <c r="A26" s="2" t="s">
        <v>976</v>
      </c>
      <c r="B26" s="2">
        <v>1</v>
      </c>
      <c r="C26" s="2" t="s">
        <v>804</v>
      </c>
      <c r="D26" s="8">
        <v>2</v>
      </c>
      <c r="E26" s="2">
        <v>49</v>
      </c>
      <c r="F26" s="2" t="s">
        <v>27</v>
      </c>
      <c r="G26" s="8" t="s">
        <v>248</v>
      </c>
      <c r="H26" s="8" t="str">
        <f t="shared" ca="1" si="0"/>
        <v>Results (Graphical)</v>
      </c>
      <c r="I26" s="20" t="s">
        <v>1194</v>
      </c>
      <c r="J26" t="s">
        <v>1196</v>
      </c>
      <c r="K26" s="21" t="s">
        <v>1195</v>
      </c>
    </row>
    <row r="27" spans="1:15" x14ac:dyDescent="0.35">
      <c r="A27" s="2" t="s">
        <v>976</v>
      </c>
      <c r="B27" s="2">
        <v>1</v>
      </c>
      <c r="C27" s="2" t="s">
        <v>804</v>
      </c>
      <c r="D27" s="8">
        <v>2</v>
      </c>
      <c r="E27" s="2">
        <v>49</v>
      </c>
      <c r="F27" s="2" t="s">
        <v>27</v>
      </c>
      <c r="G27" s="8" t="s">
        <v>248</v>
      </c>
      <c r="H27" s="8" t="str">
        <f t="shared" ca="1" si="0"/>
        <v>Results (Tabular)</v>
      </c>
      <c r="I27" s="20" t="s">
        <v>1193</v>
      </c>
      <c r="J27" t="s">
        <v>1197</v>
      </c>
      <c r="K27" s="21" t="s">
        <v>1198</v>
      </c>
    </row>
    <row r="28" spans="1:15" x14ac:dyDescent="0.35">
      <c r="A28" s="2" t="s">
        <v>976</v>
      </c>
      <c r="B28" s="2">
        <v>1</v>
      </c>
      <c r="C28" s="2" t="s">
        <v>804</v>
      </c>
      <c r="D28" s="8">
        <v>2</v>
      </c>
      <c r="E28" s="2">
        <v>50</v>
      </c>
      <c r="F28" s="2" t="s">
        <v>27</v>
      </c>
      <c r="G28" s="8" t="s">
        <v>248</v>
      </c>
      <c r="H28" s="8" t="str">
        <f t="shared" ca="1" si="0"/>
        <v>Setup – IPCC Assessment</v>
      </c>
      <c r="I28" s="20" t="s">
        <v>989</v>
      </c>
      <c r="J28" t="s">
        <v>1018</v>
      </c>
      <c r="K28" s="21" t="s">
        <v>1017</v>
      </c>
    </row>
    <row r="29" spans="1:15" x14ac:dyDescent="0.35">
      <c r="A29" s="2" t="s">
        <v>976</v>
      </c>
      <c r="B29" s="2">
        <v>1</v>
      </c>
      <c r="C29" s="2" t="s">
        <v>804</v>
      </c>
      <c r="D29" s="8">
        <v>2</v>
      </c>
      <c r="E29" s="2">
        <v>52</v>
      </c>
      <c r="F29" s="2" t="s">
        <v>27</v>
      </c>
      <c r="G29" s="8" t="s">
        <v>248</v>
      </c>
      <c r="H29" s="8" t="str">
        <f t="shared" ca="1" si="0"/>
        <v>Calculations – IPCC</v>
      </c>
      <c r="I29" s="20" t="s">
        <v>1019</v>
      </c>
      <c r="J29" t="s">
        <v>1021</v>
      </c>
      <c r="K29" s="21" t="s">
        <v>1020</v>
      </c>
    </row>
    <row r="30" spans="1:15" x14ac:dyDescent="0.35">
      <c r="A30" s="2" t="s">
        <v>976</v>
      </c>
      <c r="B30" s="2">
        <v>1</v>
      </c>
      <c r="C30" s="2" t="s">
        <v>804</v>
      </c>
      <c r="D30" s="8">
        <v>2</v>
      </c>
      <c r="E30" s="2">
        <v>52</v>
      </c>
      <c r="F30" s="2" t="s">
        <v>27</v>
      </c>
      <c r="G30" s="8" t="s">
        <v>248</v>
      </c>
      <c r="H30" s="8" t="str">
        <f t="shared" ca="1" si="0"/>
        <v>Description</v>
      </c>
      <c r="I30" s="20" t="s">
        <v>958</v>
      </c>
      <c r="J30" t="s">
        <v>1191</v>
      </c>
      <c r="K30" s="21" t="s">
        <v>1192</v>
      </c>
    </row>
    <row r="31" spans="1:15" ht="58" x14ac:dyDescent="0.35">
      <c r="A31" s="2" t="s">
        <v>976</v>
      </c>
      <c r="B31" s="2">
        <v>2</v>
      </c>
      <c r="C31" s="2" t="s">
        <v>804</v>
      </c>
      <c r="D31" s="8">
        <v>2</v>
      </c>
      <c r="E31" s="2">
        <v>62</v>
      </c>
      <c r="F31" s="2" t="s">
        <v>27</v>
      </c>
      <c r="G31" s="8" t="s">
        <v>248</v>
      </c>
      <c r="H31" s="8" t="str">
        <f t="shared" ref="H31:H34" ca="1" si="1">IF(INDIRECT($C$1&amp;ROW())="","",INDIRECT($C$1&amp;ROW()))</f>
        <v>This tool currently supports English, Mandarin Chinese, and Spanish. The language of choice may be selected using the selection feature located at the top of the "Language &amp; User Guidance" worksheet.</v>
      </c>
      <c r="I31" s="112" t="s">
        <v>988</v>
      </c>
      <c r="K31" s="21"/>
    </row>
    <row r="32" spans="1:15" ht="72.5" x14ac:dyDescent="0.35">
      <c r="A32" s="2" t="s">
        <v>976</v>
      </c>
      <c r="B32" s="2">
        <v>2</v>
      </c>
      <c r="C32" s="2" t="s">
        <v>804</v>
      </c>
      <c r="D32" s="8">
        <v>2</v>
      </c>
      <c r="E32" s="2">
        <v>62</v>
      </c>
      <c r="F32" s="2" t="s">
        <v>27</v>
      </c>
      <c r="G32" s="8" t="s">
        <v>248</v>
      </c>
      <c r="H32" s="8" t="str">
        <f t="shared" ca="1" si="1"/>
        <v>This worksheet presents a pie-chart showing the percentage distribution of a user-specified climate or air pollutant by segment of a jurisdictions oil and natural gas systems. Total assessed annual emissions of the selected pollutant is also given in units of tonnes.</v>
      </c>
      <c r="I32" s="112" t="s">
        <v>1205</v>
      </c>
      <c r="K32" s="21"/>
    </row>
    <row r="33" spans="1:15" ht="43.5" x14ac:dyDescent="0.35">
      <c r="A33" s="2" t="s">
        <v>976</v>
      </c>
      <c r="B33" s="2">
        <v>2</v>
      </c>
      <c r="C33" s="2" t="s">
        <v>804</v>
      </c>
      <c r="D33" s="8">
        <v>2</v>
      </c>
      <c r="E33" s="2">
        <v>62</v>
      </c>
      <c r="F33" s="2" t="s">
        <v>27</v>
      </c>
      <c r="G33" s="8" t="s">
        <v>248</v>
      </c>
      <c r="H33" s="8" t="str">
        <f t="shared" ca="1" si="1"/>
        <v>This worksheet presents a tabular summary of the assessed emissions in units of tonnes by type of pollutant for each segment of the oil and natural gas systems.</v>
      </c>
      <c r="I33" s="112" t="s">
        <v>1183</v>
      </c>
      <c r="K33" s="21"/>
    </row>
    <row r="34" spans="1:15" ht="43.5" x14ac:dyDescent="0.35">
      <c r="A34" s="2" t="s">
        <v>976</v>
      </c>
      <c r="B34" s="2">
        <v>2</v>
      </c>
      <c r="C34" s="2" t="s">
        <v>804</v>
      </c>
      <c r="D34" s="8">
        <v>2</v>
      </c>
      <c r="E34" s="2">
        <v>62</v>
      </c>
      <c r="F34" s="2" t="s">
        <v>27</v>
      </c>
      <c r="G34" s="8" t="s">
        <v>248</v>
      </c>
      <c r="H34" s="8" t="str">
        <f t="shared" ca="1" si="1"/>
        <v>This worksheet is where you enter the activity data needed to drive the applicable emission calculations and, if available, any provide any related Tier-2 emission factors.</v>
      </c>
      <c r="I34" s="112" t="s">
        <v>1206</v>
      </c>
      <c r="K34" s="21"/>
    </row>
    <row r="35" spans="1:15" x14ac:dyDescent="0.35">
      <c r="A35" s="2" t="s">
        <v>976</v>
      </c>
      <c r="B35" s="2">
        <v>0</v>
      </c>
      <c r="C35" s="2" t="s">
        <v>776</v>
      </c>
      <c r="D35" s="8">
        <v>1</v>
      </c>
      <c r="E35" s="2">
        <v>1</v>
      </c>
      <c r="F35" s="2" t="s">
        <v>241</v>
      </c>
      <c r="G35" s="8" t="s">
        <v>248</v>
      </c>
      <c r="H35" s="8" t="str">
        <f t="shared" ca="1" si="0"/>
        <v>How To Use This Tool</v>
      </c>
      <c r="I35" s="112" t="s">
        <v>954</v>
      </c>
      <c r="K35" s="21"/>
    </row>
    <row r="36" spans="1:15" x14ac:dyDescent="0.35">
      <c r="A36" s="2" t="s">
        <v>976</v>
      </c>
      <c r="B36" s="2">
        <v>1</v>
      </c>
      <c r="C36" s="2" t="s">
        <v>776</v>
      </c>
      <c r="D36" s="8">
        <v>1</v>
      </c>
      <c r="E36" s="2">
        <v>1</v>
      </c>
      <c r="F36" s="2" t="s">
        <v>241</v>
      </c>
      <c r="G36" s="8" t="s">
        <v>248</v>
      </c>
      <c r="H36" s="8" t="str">
        <f t="shared" ca="1" si="0"/>
        <v>Cell Styles</v>
      </c>
      <c r="I36" s="20" t="s">
        <v>955</v>
      </c>
      <c r="K36" s="21"/>
    </row>
    <row r="37" spans="1:15" x14ac:dyDescent="0.35">
      <c r="A37" s="2" t="s">
        <v>976</v>
      </c>
      <c r="B37" s="2">
        <v>2</v>
      </c>
      <c r="C37" s="2" t="s">
        <v>776</v>
      </c>
      <c r="D37" s="8">
        <v>1</v>
      </c>
      <c r="E37" s="2">
        <v>1</v>
      </c>
      <c r="F37" s="2" t="s">
        <v>241</v>
      </c>
      <c r="G37" s="8" t="s">
        <v>248</v>
      </c>
      <c r="H37" s="8" t="str">
        <f t="shared" ca="1" si="0"/>
        <v>Warning</v>
      </c>
      <c r="I37" s="20" t="s">
        <v>956</v>
      </c>
      <c r="K37" s="21"/>
    </row>
    <row r="38" spans="1:15" x14ac:dyDescent="0.35">
      <c r="A38" s="2" t="s">
        <v>976</v>
      </c>
      <c r="B38" s="2">
        <v>3</v>
      </c>
      <c r="C38" s="2" t="s">
        <v>776</v>
      </c>
      <c r="D38" s="8">
        <v>1</v>
      </c>
      <c r="E38" s="2">
        <v>1</v>
      </c>
      <c r="F38" s="2" t="s">
        <v>241</v>
      </c>
      <c r="G38" s="8" t="s">
        <v>248</v>
      </c>
      <c r="H38" s="8" t="str">
        <f t="shared" ca="1" si="0"/>
        <v>Input Cell</v>
      </c>
      <c r="I38" s="20" t="s">
        <v>957</v>
      </c>
      <c r="K38" s="21"/>
    </row>
    <row r="39" spans="1:15" x14ac:dyDescent="0.35">
      <c r="A39" s="2" t="s">
        <v>899</v>
      </c>
      <c r="B39" s="2">
        <v>1</v>
      </c>
      <c r="C39" s="2" t="s">
        <v>804</v>
      </c>
      <c r="D39" s="8">
        <v>1</v>
      </c>
      <c r="E39" s="2">
        <v>1</v>
      </c>
      <c r="F39" s="2" t="s">
        <v>27</v>
      </c>
      <c r="G39" s="8" t="s">
        <v>248</v>
      </c>
      <c r="H39" s="8" t="str">
        <f ca="1">IF(INDIRECT($C$1&amp;ROW())="","",INDIRECT($C$1&amp;ROW()))</f>
        <v>Total Emissions</v>
      </c>
      <c r="I39" s="20" t="s">
        <v>900</v>
      </c>
      <c r="J39" t="s">
        <v>413</v>
      </c>
      <c r="K39" s="21" t="s">
        <v>901</v>
      </c>
    </row>
    <row r="40" spans="1:15" x14ac:dyDescent="0.35">
      <c r="A40" s="2" t="s">
        <v>899</v>
      </c>
      <c r="B40" s="2">
        <v>1</v>
      </c>
      <c r="C40" s="2" t="s">
        <v>242</v>
      </c>
      <c r="D40" s="8">
        <v>1</v>
      </c>
      <c r="E40" s="2">
        <v>1</v>
      </c>
      <c r="F40" s="2" t="s">
        <v>27</v>
      </c>
      <c r="G40" s="8" t="s">
        <v>248</v>
      </c>
      <c r="H40" s="8" t="str">
        <f ca="1">IF(INDIRECT($C$1&amp;ROW())="","",INDIRECT($C$1&amp;ROW()))</f>
        <v>Emission Results(Facility Level) - Summary by Source Category and Pollutant Type</v>
      </c>
      <c r="I40" s="20" t="s">
        <v>1105</v>
      </c>
      <c r="K40" s="21"/>
    </row>
    <row r="41" spans="1:15" x14ac:dyDescent="0.35">
      <c r="A41" s="2" t="s">
        <v>899</v>
      </c>
      <c r="B41" s="8">
        <v>1</v>
      </c>
      <c r="C41" s="2" t="s">
        <v>242</v>
      </c>
      <c r="D41" s="8">
        <v>1</v>
      </c>
      <c r="E41" s="8">
        <v>1</v>
      </c>
      <c r="F41" s="8" t="s">
        <v>241</v>
      </c>
      <c r="G41" s="8" t="s">
        <v>248</v>
      </c>
      <c r="H41" s="8" t="str">
        <f t="shared" ref="H41:H64" ca="1" si="2">IF(INDIRECT($C$1&amp;ROW())="","",INDIRECT($C$1&amp;ROW()))</f>
        <v>(tonnes)</v>
      </c>
      <c r="I41" s="8" t="s">
        <v>143</v>
      </c>
      <c r="J41" s="8" t="s">
        <v>374</v>
      </c>
      <c r="K41" s="16" t="s">
        <v>479</v>
      </c>
      <c r="L41" s="14"/>
      <c r="M41" s="14"/>
      <c r="N41" s="14"/>
      <c r="O41" s="14"/>
    </row>
    <row r="42" spans="1:15" x14ac:dyDescent="0.35">
      <c r="A42" s="8" t="s">
        <v>1111</v>
      </c>
      <c r="B42" s="8">
        <v>1</v>
      </c>
      <c r="C42" s="8" t="s">
        <v>442</v>
      </c>
      <c r="D42" s="8">
        <v>1</v>
      </c>
      <c r="E42" s="8">
        <v>1</v>
      </c>
      <c r="F42" s="8" t="s">
        <v>241</v>
      </c>
      <c r="G42" s="8" t="s">
        <v>242</v>
      </c>
      <c r="H42" s="8" t="str">
        <f t="shared" ca="1" si="2"/>
        <v>System-Wide Emission Results (IPCC) - Summary by Industry Segment and Pollutant Type</v>
      </c>
      <c r="I42" s="8" t="s">
        <v>1106</v>
      </c>
      <c r="J42" s="8"/>
      <c r="K42" s="16"/>
    </row>
    <row r="43" spans="1:15" x14ac:dyDescent="0.35">
      <c r="A43" s="8" t="s">
        <v>1111</v>
      </c>
      <c r="B43" s="8">
        <v>1</v>
      </c>
      <c r="C43" s="8" t="s">
        <v>442</v>
      </c>
      <c r="D43" s="8">
        <v>1</v>
      </c>
      <c r="E43" s="8">
        <v>1</v>
      </c>
      <c r="F43" s="8" t="s">
        <v>241</v>
      </c>
      <c r="G43" s="8" t="s">
        <v>242</v>
      </c>
      <c r="H43" s="8" t="str">
        <f t="shared" ca="1" si="2"/>
        <v>CRF Category</v>
      </c>
      <c r="I43" s="8" t="s">
        <v>1184</v>
      </c>
      <c r="J43" s="8"/>
      <c r="K43" s="16"/>
      <c r="L43" s="14"/>
      <c r="M43" s="14"/>
      <c r="N43" s="14"/>
      <c r="O43" s="14"/>
    </row>
    <row r="44" spans="1:15" x14ac:dyDescent="0.35">
      <c r="A44" s="8" t="s">
        <v>1111</v>
      </c>
      <c r="B44" s="8">
        <v>1</v>
      </c>
      <c r="C44" s="8" t="s">
        <v>442</v>
      </c>
      <c r="D44" s="8">
        <v>1</v>
      </c>
      <c r="E44" s="8">
        <v>1</v>
      </c>
      <c r="F44" s="8" t="s">
        <v>241</v>
      </c>
      <c r="G44" s="8" t="s">
        <v>242</v>
      </c>
      <c r="H44" s="8" t="str">
        <f t="shared" ca="1" si="2"/>
        <v xml:space="preserve">Industry Segment </v>
      </c>
      <c r="I44" s="8" t="s">
        <v>1107</v>
      </c>
      <c r="J44" s="8"/>
      <c r="K44" s="16"/>
      <c r="L44" s="14"/>
      <c r="M44" s="14"/>
      <c r="N44" s="14"/>
      <c r="O44" s="14"/>
    </row>
    <row r="45" spans="1:15" x14ac:dyDescent="0.35">
      <c r="A45" s="8" t="s">
        <v>1111</v>
      </c>
      <c r="B45" s="8">
        <v>1</v>
      </c>
      <c r="C45" s="8" t="s">
        <v>442</v>
      </c>
      <c r="D45" s="8">
        <v>1</v>
      </c>
      <c r="E45" s="8">
        <v>1</v>
      </c>
      <c r="F45" s="8" t="s">
        <v>241</v>
      </c>
      <c r="G45" s="8" t="s">
        <v>248</v>
      </c>
      <c r="H45" s="8" t="str">
        <f t="shared" ca="1" si="2"/>
        <v>CH4</v>
      </c>
      <c r="I45" s="8" t="s">
        <v>38</v>
      </c>
      <c r="J45" s="8" t="s">
        <v>38</v>
      </c>
      <c r="K45" s="8" t="s">
        <v>38</v>
      </c>
      <c r="L45" s="14"/>
      <c r="M45" s="14"/>
      <c r="N45" s="14"/>
      <c r="O45" s="14"/>
    </row>
    <row r="46" spans="1:15" x14ac:dyDescent="0.35">
      <c r="A46" s="8" t="s">
        <v>1111</v>
      </c>
      <c r="B46" s="8">
        <v>1</v>
      </c>
      <c r="C46" s="8" t="s">
        <v>442</v>
      </c>
      <c r="D46" s="8">
        <v>1</v>
      </c>
      <c r="E46" s="8">
        <v>1</v>
      </c>
      <c r="F46" s="8" t="s">
        <v>241</v>
      </c>
      <c r="G46" s="8" t="s">
        <v>248</v>
      </c>
      <c r="H46" s="8" t="str">
        <f t="shared" ca="1" si="2"/>
        <v>CO2</v>
      </c>
      <c r="I46" s="8" t="s">
        <v>43</v>
      </c>
      <c r="J46" s="8" t="s">
        <v>43</v>
      </c>
      <c r="K46" s="8" t="s">
        <v>43</v>
      </c>
      <c r="L46" s="14"/>
      <c r="M46" s="14"/>
      <c r="N46" s="14"/>
      <c r="O46" s="14"/>
    </row>
    <row r="47" spans="1:15" x14ac:dyDescent="0.35">
      <c r="A47" s="8" t="s">
        <v>1111</v>
      </c>
      <c r="B47" s="8">
        <v>1</v>
      </c>
      <c r="C47" s="8" t="s">
        <v>442</v>
      </c>
      <c r="D47" s="8">
        <v>1</v>
      </c>
      <c r="E47" s="8">
        <v>1</v>
      </c>
      <c r="F47" s="8" t="s">
        <v>241</v>
      </c>
      <c r="G47" s="8" t="s">
        <v>248</v>
      </c>
      <c r="H47" s="8" t="str">
        <f t="shared" ca="1" si="2"/>
        <v>N2O</v>
      </c>
      <c r="I47" s="8" t="s">
        <v>164</v>
      </c>
      <c r="J47" s="8" t="s">
        <v>164</v>
      </c>
      <c r="K47" s="8" t="s">
        <v>164</v>
      </c>
      <c r="L47" s="14"/>
      <c r="M47" s="14"/>
      <c r="N47" s="14"/>
      <c r="O47" s="14"/>
    </row>
    <row r="48" spans="1:15" x14ac:dyDescent="0.35">
      <c r="A48" s="8" t="s">
        <v>1111</v>
      </c>
      <c r="B48" s="8">
        <v>1</v>
      </c>
      <c r="C48" s="8" t="s">
        <v>442</v>
      </c>
      <c r="D48" s="8">
        <v>1</v>
      </c>
      <c r="E48" s="8">
        <v>1</v>
      </c>
      <c r="F48" s="8" t="s">
        <v>241</v>
      </c>
      <c r="G48" s="8" t="s">
        <v>248</v>
      </c>
      <c r="H48" s="8" t="str">
        <f t="shared" ca="1" si="2"/>
        <v>CO2E</v>
      </c>
      <c r="I48" s="8" t="s">
        <v>244</v>
      </c>
      <c r="J48" s="8" t="s">
        <v>244</v>
      </c>
      <c r="K48" s="8" t="s">
        <v>244</v>
      </c>
      <c r="L48" s="14"/>
      <c r="M48" s="14"/>
      <c r="N48" s="14"/>
      <c r="O48" s="14"/>
    </row>
    <row r="49" spans="1:15" x14ac:dyDescent="0.35">
      <c r="A49" s="8" t="s">
        <v>1111</v>
      </c>
      <c r="B49" s="8">
        <v>1</v>
      </c>
      <c r="C49" s="8" t="s">
        <v>442</v>
      </c>
      <c r="D49" s="8">
        <v>1</v>
      </c>
      <c r="E49" s="8">
        <v>1</v>
      </c>
      <c r="F49" s="8" t="s">
        <v>241</v>
      </c>
      <c r="G49" s="8" t="s">
        <v>248</v>
      </c>
      <c r="H49" s="8" t="str">
        <f t="shared" ca="1" si="2"/>
        <v>NOx</v>
      </c>
      <c r="I49" s="8" t="s">
        <v>1175</v>
      </c>
      <c r="J49" s="8" t="s">
        <v>1175</v>
      </c>
      <c r="K49" s="8" t="s">
        <v>1175</v>
      </c>
      <c r="L49" s="14"/>
      <c r="M49" s="14"/>
      <c r="N49" s="14"/>
      <c r="O49" s="14"/>
    </row>
    <row r="50" spans="1:15" x14ac:dyDescent="0.35">
      <c r="A50" s="8" t="s">
        <v>1111</v>
      </c>
      <c r="B50" s="8">
        <v>1</v>
      </c>
      <c r="C50" s="8" t="s">
        <v>442</v>
      </c>
      <c r="D50" s="8">
        <v>1</v>
      </c>
      <c r="E50" s="8">
        <v>1</v>
      </c>
      <c r="F50" s="8" t="s">
        <v>241</v>
      </c>
      <c r="G50" s="8" t="s">
        <v>248</v>
      </c>
      <c r="H50" s="8" t="str">
        <f t="shared" ca="1" si="2"/>
        <v>CO</v>
      </c>
      <c r="I50" s="8" t="s">
        <v>1176</v>
      </c>
      <c r="J50" s="8" t="s">
        <v>1176</v>
      </c>
      <c r="K50" s="8" t="s">
        <v>1176</v>
      </c>
      <c r="L50" s="14"/>
      <c r="M50" s="14"/>
      <c r="N50" s="14"/>
      <c r="O50" s="14"/>
    </row>
    <row r="51" spans="1:15" x14ac:dyDescent="0.35">
      <c r="A51" s="8" t="s">
        <v>1111</v>
      </c>
      <c r="B51" s="8">
        <v>1</v>
      </c>
      <c r="C51" s="8" t="s">
        <v>442</v>
      </c>
      <c r="D51" s="8">
        <v>1</v>
      </c>
      <c r="E51" s="8">
        <v>1</v>
      </c>
      <c r="F51" s="8" t="s">
        <v>241</v>
      </c>
      <c r="G51" s="8" t="s">
        <v>248</v>
      </c>
      <c r="H51" s="8" t="str">
        <f t="shared" ca="1" si="2"/>
        <v>NMVOC</v>
      </c>
      <c r="I51" s="8" t="s">
        <v>1027</v>
      </c>
      <c r="J51" s="8" t="s">
        <v>1027</v>
      </c>
      <c r="K51" s="8" t="s">
        <v>1027</v>
      </c>
      <c r="L51" s="14"/>
      <c r="M51" s="14"/>
      <c r="N51" s="14"/>
      <c r="O51" s="14"/>
    </row>
    <row r="52" spans="1:15" x14ac:dyDescent="0.35">
      <c r="A52" s="8" t="s">
        <v>1111</v>
      </c>
      <c r="B52" s="8">
        <v>1</v>
      </c>
      <c r="C52" s="8" t="s">
        <v>442</v>
      </c>
      <c r="D52" s="8">
        <v>1</v>
      </c>
      <c r="E52" s="8">
        <v>1</v>
      </c>
      <c r="F52" s="8" t="s">
        <v>241</v>
      </c>
      <c r="G52" s="8" t="s">
        <v>248</v>
      </c>
      <c r="H52" s="8" t="str">
        <f t="shared" ca="1" si="2"/>
        <v>SO2</v>
      </c>
      <c r="I52" s="8" t="s">
        <v>1177</v>
      </c>
      <c r="J52" s="8" t="s">
        <v>1177</v>
      </c>
      <c r="K52" s="8" t="s">
        <v>1177</v>
      </c>
      <c r="L52" s="14"/>
      <c r="M52" s="14"/>
      <c r="N52" s="14"/>
      <c r="O52" s="14"/>
    </row>
    <row r="53" spans="1:15" x14ac:dyDescent="0.35">
      <c r="A53" s="8" t="s">
        <v>1111</v>
      </c>
      <c r="B53" s="8">
        <v>1</v>
      </c>
      <c r="C53" s="8" t="s">
        <v>442</v>
      </c>
      <c r="D53" s="8">
        <v>1</v>
      </c>
      <c r="E53" s="8">
        <v>1</v>
      </c>
      <c r="F53" s="8" t="s">
        <v>241</v>
      </c>
      <c r="G53" s="8" t="s">
        <v>248</v>
      </c>
      <c r="H53" s="8" t="str">
        <f t="shared" ca="1" si="2"/>
        <v>(tonnes)</v>
      </c>
      <c r="I53" s="8" t="s">
        <v>143</v>
      </c>
      <c r="J53" s="8" t="s">
        <v>374</v>
      </c>
      <c r="K53" s="16" t="s">
        <v>479</v>
      </c>
      <c r="L53" s="14"/>
      <c r="M53" s="14"/>
      <c r="N53" s="14"/>
      <c r="O53" s="14"/>
    </row>
    <row r="54" spans="1:15" x14ac:dyDescent="0.35">
      <c r="A54" s="8" t="s">
        <v>1111</v>
      </c>
      <c r="B54" s="8">
        <v>1</v>
      </c>
      <c r="C54" s="8" t="s">
        <v>442</v>
      </c>
      <c r="D54" s="8">
        <v>1</v>
      </c>
      <c r="E54" s="8">
        <v>1</v>
      </c>
      <c r="F54" s="8" t="s">
        <v>241</v>
      </c>
      <c r="G54" s="8" t="s">
        <v>248</v>
      </c>
      <c r="H54" s="8" t="str">
        <f t="shared" ca="1" si="2"/>
        <v>Total:</v>
      </c>
      <c r="I54" s="8" t="s">
        <v>113</v>
      </c>
      <c r="J54" s="8" t="s">
        <v>113</v>
      </c>
      <c r="K54" s="8" t="s">
        <v>113</v>
      </c>
      <c r="L54" s="14"/>
      <c r="M54" s="14"/>
      <c r="N54" s="14"/>
      <c r="O54" s="14"/>
    </row>
    <row r="55" spans="1:15" x14ac:dyDescent="0.35">
      <c r="A55" s="8" t="s">
        <v>1111</v>
      </c>
      <c r="B55" s="8">
        <v>1</v>
      </c>
      <c r="C55" s="8" t="s">
        <v>442</v>
      </c>
      <c r="D55" s="8">
        <v>1</v>
      </c>
      <c r="E55" s="8">
        <v>1</v>
      </c>
      <c r="F55" s="8" t="s">
        <v>241</v>
      </c>
      <c r="G55" s="8" t="s">
        <v>248</v>
      </c>
      <c r="H55" s="8" t="str">
        <f t="shared" ca="1" si="2"/>
        <v>Applied Global Warming Potentials (GWPs)</v>
      </c>
      <c r="I55" s="8" t="s">
        <v>1199</v>
      </c>
      <c r="J55" s="8" t="s">
        <v>1200</v>
      </c>
      <c r="K55" s="16" t="s">
        <v>1201</v>
      </c>
      <c r="L55" s="14"/>
      <c r="M55" s="14"/>
      <c r="N55" s="14"/>
      <c r="O55" s="14"/>
    </row>
    <row r="56" spans="1:15" x14ac:dyDescent="0.35">
      <c r="A56" s="8" t="s">
        <v>1111</v>
      </c>
      <c r="B56" s="8">
        <v>1</v>
      </c>
      <c r="C56" s="8" t="s">
        <v>442</v>
      </c>
      <c r="D56" s="8">
        <v>1</v>
      </c>
      <c r="E56" s="8">
        <v>1</v>
      </c>
      <c r="F56" s="8" t="s">
        <v>241</v>
      </c>
      <c r="G56" s="8" t="s">
        <v>248</v>
      </c>
      <c r="H56" s="8" t="str">
        <f t="shared" ca="1" si="2"/>
        <v>Energy Industries:</v>
      </c>
      <c r="I56" s="8" t="s">
        <v>1016</v>
      </c>
      <c r="J56" s="16"/>
      <c r="K56" s="16"/>
      <c r="L56" s="14"/>
      <c r="M56" s="14"/>
      <c r="N56" s="14"/>
      <c r="O56" s="14"/>
    </row>
    <row r="57" spans="1:15" x14ac:dyDescent="0.35">
      <c r="A57" s="8" t="s">
        <v>1111</v>
      </c>
      <c r="B57" s="8">
        <v>1</v>
      </c>
      <c r="C57" s="8" t="s">
        <v>442</v>
      </c>
      <c r="D57" s="8">
        <v>1</v>
      </c>
      <c r="E57" s="8">
        <v>1</v>
      </c>
      <c r="F57" s="8" t="s">
        <v>241</v>
      </c>
      <c r="G57" s="8" t="s">
        <v>248</v>
      </c>
      <c r="H57" s="8" t="str">
        <f t="shared" ca="1" si="2"/>
        <v>Petroleum Refining</v>
      </c>
      <c r="I57" s="8" t="s">
        <v>991</v>
      </c>
      <c r="J57" s="16"/>
      <c r="K57" s="16"/>
      <c r="L57" s="14"/>
      <c r="M57" s="14"/>
      <c r="N57" s="14"/>
      <c r="O57" s="14"/>
    </row>
    <row r="58" spans="1:15" x14ac:dyDescent="0.35">
      <c r="A58" s="8" t="s">
        <v>1111</v>
      </c>
      <c r="B58" s="8">
        <v>1</v>
      </c>
      <c r="C58" s="8" t="s">
        <v>442</v>
      </c>
      <c r="D58" s="8">
        <v>1</v>
      </c>
      <c r="E58" s="8">
        <v>1</v>
      </c>
      <c r="F58" s="8" t="s">
        <v>241</v>
      </c>
      <c r="G58" s="8" t="s">
        <v>248</v>
      </c>
      <c r="H58" s="8" t="str">
        <f t="shared" ca="1" si="2"/>
        <v>Manufacture of solid fuels and other energy industries</v>
      </c>
      <c r="I58" s="8" t="s">
        <v>1104</v>
      </c>
      <c r="J58" s="16"/>
      <c r="K58" s="16"/>
      <c r="L58" s="14"/>
      <c r="M58" s="14"/>
      <c r="N58" s="14"/>
      <c r="O58" s="14"/>
    </row>
    <row r="59" spans="1:15" x14ac:dyDescent="0.35">
      <c r="A59" s="8" t="s">
        <v>1111</v>
      </c>
      <c r="B59" s="8">
        <v>1</v>
      </c>
      <c r="C59" s="8" t="s">
        <v>442</v>
      </c>
      <c r="D59" s="8">
        <v>1</v>
      </c>
      <c r="E59" s="8">
        <v>1</v>
      </c>
      <c r="F59" s="8" t="s">
        <v>241</v>
      </c>
      <c r="G59" s="8" t="s">
        <v>248</v>
      </c>
      <c r="H59" s="8" t="str">
        <f t="shared" ca="1" si="2"/>
        <v>Oil and Natural Gas</v>
      </c>
      <c r="I59" s="8" t="s">
        <v>1094</v>
      </c>
      <c r="J59" s="16"/>
      <c r="K59" s="16"/>
      <c r="L59" s="14"/>
      <c r="M59" s="14"/>
      <c r="N59" s="14"/>
      <c r="O59" s="14"/>
    </row>
    <row r="60" spans="1:15" x14ac:dyDescent="0.35">
      <c r="A60" s="8" t="s">
        <v>1111</v>
      </c>
      <c r="B60" s="8">
        <v>1</v>
      </c>
      <c r="C60" s="8" t="s">
        <v>442</v>
      </c>
      <c r="D60" s="8">
        <v>1</v>
      </c>
      <c r="E60" s="8">
        <v>1</v>
      </c>
      <c r="F60" s="8" t="s">
        <v>241</v>
      </c>
      <c r="G60" s="8" t="s">
        <v>248</v>
      </c>
      <c r="H60" s="8" t="str">
        <f t="shared" ca="1" si="2"/>
        <v>Oil</v>
      </c>
      <c r="I60" s="8" t="s">
        <v>1095</v>
      </c>
      <c r="J60" s="16"/>
      <c r="K60" s="16"/>
      <c r="L60" s="14"/>
      <c r="M60" s="14"/>
      <c r="N60" s="14"/>
      <c r="O60" s="14"/>
    </row>
    <row r="61" spans="1:15" x14ac:dyDescent="0.35">
      <c r="A61" s="8" t="s">
        <v>1111</v>
      </c>
      <c r="B61" s="8">
        <v>1</v>
      </c>
      <c r="C61" s="8" t="s">
        <v>442</v>
      </c>
      <c r="D61" s="8">
        <v>1</v>
      </c>
      <c r="E61" s="8">
        <v>1</v>
      </c>
      <c r="F61" s="8" t="s">
        <v>241</v>
      </c>
      <c r="G61" s="8" t="s">
        <v>248</v>
      </c>
      <c r="H61" s="8" t="str">
        <f t="shared" ca="1" si="2"/>
        <v>Exploration</v>
      </c>
      <c r="I61" s="8" t="s">
        <v>1096</v>
      </c>
      <c r="J61" s="16"/>
      <c r="K61" s="16"/>
      <c r="L61" s="14"/>
      <c r="M61" s="14"/>
      <c r="N61" s="14"/>
      <c r="O61" s="14"/>
    </row>
    <row r="62" spans="1:15" x14ac:dyDescent="0.35">
      <c r="A62" s="8" t="s">
        <v>1111</v>
      </c>
      <c r="B62" s="8">
        <v>1</v>
      </c>
      <c r="C62" s="8" t="s">
        <v>442</v>
      </c>
      <c r="D62" s="8">
        <v>1</v>
      </c>
      <c r="E62" s="8">
        <v>1</v>
      </c>
      <c r="F62" s="8" t="s">
        <v>241</v>
      </c>
      <c r="G62" s="8" t="s">
        <v>248</v>
      </c>
      <c r="H62" s="8" t="str">
        <f t="shared" ca="1" si="2"/>
        <v>Production and Upgrading</v>
      </c>
      <c r="I62" s="8" t="s">
        <v>1097</v>
      </c>
      <c r="J62" s="16"/>
      <c r="K62" s="16"/>
      <c r="L62" s="14"/>
      <c r="M62" s="14"/>
      <c r="N62" s="14"/>
      <c r="O62" s="14"/>
    </row>
    <row r="63" spans="1:15" x14ac:dyDescent="0.35">
      <c r="A63" s="8" t="s">
        <v>1111</v>
      </c>
      <c r="B63" s="8">
        <v>1</v>
      </c>
      <c r="C63" s="8" t="s">
        <v>442</v>
      </c>
      <c r="D63" s="8">
        <v>1</v>
      </c>
      <c r="E63" s="8">
        <v>1</v>
      </c>
      <c r="F63" s="8" t="s">
        <v>241</v>
      </c>
      <c r="G63" s="8" t="s">
        <v>248</v>
      </c>
      <c r="H63" s="8" t="str">
        <f t="shared" ca="1" si="2"/>
        <v>Transport</v>
      </c>
      <c r="I63" s="8" t="s">
        <v>1098</v>
      </c>
      <c r="J63" s="16"/>
      <c r="K63" s="16"/>
      <c r="L63" s="14"/>
      <c r="M63" s="14"/>
      <c r="N63" s="14"/>
      <c r="O63" s="14"/>
    </row>
    <row r="64" spans="1:15" x14ac:dyDescent="0.35">
      <c r="A64" s="8" t="s">
        <v>1111</v>
      </c>
      <c r="B64" s="8">
        <v>1</v>
      </c>
      <c r="C64" s="8" t="s">
        <v>442</v>
      </c>
      <c r="D64" s="8">
        <v>1</v>
      </c>
      <c r="E64" s="8">
        <v>1</v>
      </c>
      <c r="F64" s="8" t="s">
        <v>241</v>
      </c>
      <c r="G64" s="8" t="s">
        <v>248</v>
      </c>
      <c r="H64" s="8" t="str">
        <f t="shared" ca="1" si="2"/>
        <v>Refining</v>
      </c>
      <c r="I64" s="8" t="s">
        <v>1099</v>
      </c>
      <c r="J64" s="16"/>
      <c r="K64" s="16"/>
      <c r="L64" s="14"/>
      <c r="M64" s="14"/>
      <c r="N64" s="14"/>
      <c r="O64" s="14"/>
    </row>
    <row r="65" spans="1:15" x14ac:dyDescent="0.35">
      <c r="A65" s="8" t="s">
        <v>1111</v>
      </c>
      <c r="B65" s="8">
        <v>1</v>
      </c>
      <c r="C65" s="8" t="s">
        <v>442</v>
      </c>
      <c r="D65" s="8">
        <v>1</v>
      </c>
      <c r="E65" s="8">
        <v>1</v>
      </c>
      <c r="F65" s="8" t="s">
        <v>241</v>
      </c>
      <c r="G65" s="8" t="s">
        <v>248</v>
      </c>
      <c r="H65" s="8" t="str">
        <f t="shared" ref="H65:H76" ca="1" si="3">IF(INDIRECT($C$1&amp;ROW())="","",INDIRECT($C$1&amp;ROW()))</f>
        <v>Distribution of Oil Products</v>
      </c>
      <c r="I65" s="8" t="s">
        <v>1002</v>
      </c>
      <c r="J65" s="16"/>
      <c r="K65" s="16"/>
      <c r="L65" s="14"/>
      <c r="M65" s="14"/>
      <c r="N65" s="14"/>
      <c r="O65" s="14"/>
    </row>
    <row r="66" spans="1:15" x14ac:dyDescent="0.35">
      <c r="A66" s="8" t="s">
        <v>1111</v>
      </c>
      <c r="B66" s="8">
        <v>1</v>
      </c>
      <c r="C66" s="8" t="s">
        <v>442</v>
      </c>
      <c r="D66" s="8">
        <v>1</v>
      </c>
      <c r="E66" s="8">
        <v>1</v>
      </c>
      <c r="F66" s="8" t="s">
        <v>241</v>
      </c>
      <c r="G66" s="8" t="s">
        <v>248</v>
      </c>
      <c r="H66" s="8" t="str">
        <f t="shared" ca="1" si="3"/>
        <v>Other</v>
      </c>
      <c r="I66" s="8" t="s">
        <v>1003</v>
      </c>
      <c r="J66" s="16"/>
      <c r="K66" s="16"/>
      <c r="L66" s="14"/>
      <c r="M66" s="14"/>
      <c r="N66" s="14"/>
      <c r="O66" s="14"/>
    </row>
    <row r="67" spans="1:15" x14ac:dyDescent="0.35">
      <c r="A67" s="8" t="s">
        <v>1111</v>
      </c>
      <c r="B67" s="8">
        <v>1</v>
      </c>
      <c r="C67" s="8" t="s">
        <v>442</v>
      </c>
      <c r="D67" s="8">
        <v>1</v>
      </c>
      <c r="E67" s="8">
        <v>1</v>
      </c>
      <c r="F67" s="8" t="s">
        <v>241</v>
      </c>
      <c r="G67" s="8" t="s">
        <v>248</v>
      </c>
      <c r="H67" s="8" t="str">
        <f t="shared" ca="1" si="3"/>
        <v>Abandoned Oil Wells</v>
      </c>
      <c r="I67" s="8" t="s">
        <v>1004</v>
      </c>
      <c r="J67" s="16"/>
      <c r="K67" s="16"/>
      <c r="L67" s="14"/>
      <c r="M67" s="14"/>
      <c r="N67" s="14"/>
      <c r="O67" s="14"/>
    </row>
    <row r="68" spans="1:15" x14ac:dyDescent="0.35">
      <c r="A68" s="8" t="s">
        <v>1111</v>
      </c>
      <c r="B68" s="8">
        <v>1</v>
      </c>
      <c r="C68" s="8" t="s">
        <v>442</v>
      </c>
      <c r="D68" s="8">
        <v>1</v>
      </c>
      <c r="E68" s="8">
        <v>1</v>
      </c>
      <c r="F68" s="8" t="s">
        <v>241</v>
      </c>
      <c r="G68" s="8" t="s">
        <v>248</v>
      </c>
      <c r="H68" s="8" t="str">
        <f t="shared" ca="1" si="3"/>
        <v>Natural Gas</v>
      </c>
      <c r="I68" s="8" t="s">
        <v>97</v>
      </c>
      <c r="J68" s="16"/>
      <c r="K68" s="16"/>
      <c r="L68" s="14"/>
      <c r="M68" s="14"/>
      <c r="N68" s="14"/>
      <c r="O68" s="14"/>
    </row>
    <row r="69" spans="1:15" x14ac:dyDescent="0.35">
      <c r="A69" s="8" t="s">
        <v>1111</v>
      </c>
      <c r="B69" s="8">
        <v>1</v>
      </c>
      <c r="C69" s="8" t="s">
        <v>442</v>
      </c>
      <c r="D69" s="8">
        <v>1</v>
      </c>
      <c r="E69" s="8">
        <v>1</v>
      </c>
      <c r="F69" s="8" t="s">
        <v>241</v>
      </c>
      <c r="G69" s="8" t="s">
        <v>248</v>
      </c>
      <c r="H69" s="8" t="str">
        <f t="shared" ca="1" si="3"/>
        <v>Exploration</v>
      </c>
      <c r="I69" s="8" t="s">
        <v>1096</v>
      </c>
      <c r="J69" s="16"/>
      <c r="K69" s="16"/>
      <c r="L69" s="14"/>
      <c r="M69" s="14"/>
      <c r="N69" s="14"/>
      <c r="O69" s="14"/>
    </row>
    <row r="70" spans="1:15" x14ac:dyDescent="0.35">
      <c r="A70" s="8" t="s">
        <v>1111</v>
      </c>
      <c r="B70" s="8">
        <v>1</v>
      </c>
      <c r="C70" s="8" t="s">
        <v>442</v>
      </c>
      <c r="D70" s="8">
        <v>1</v>
      </c>
      <c r="E70" s="8">
        <v>1</v>
      </c>
      <c r="F70" s="8" t="s">
        <v>241</v>
      </c>
      <c r="G70" s="8" t="s">
        <v>248</v>
      </c>
      <c r="H70" s="8" t="str">
        <f t="shared" ca="1" si="3"/>
        <v>Production and Gathering</v>
      </c>
      <c r="I70" s="8" t="s">
        <v>1100</v>
      </c>
      <c r="J70" s="16"/>
      <c r="K70" s="16"/>
      <c r="L70" s="14"/>
      <c r="M70" s="14"/>
      <c r="N70" s="14"/>
      <c r="O70" s="14"/>
    </row>
    <row r="71" spans="1:15" x14ac:dyDescent="0.35">
      <c r="A71" s="8" t="s">
        <v>1111</v>
      </c>
      <c r="B71" s="8">
        <v>1</v>
      </c>
      <c r="C71" s="8" t="s">
        <v>442</v>
      </c>
      <c r="D71" s="8">
        <v>1</v>
      </c>
      <c r="E71" s="8">
        <v>1</v>
      </c>
      <c r="F71" s="8" t="s">
        <v>241</v>
      </c>
      <c r="G71" s="8" t="s">
        <v>248</v>
      </c>
      <c r="H71" s="8" t="str">
        <f t="shared" ca="1" si="3"/>
        <v>Processing</v>
      </c>
      <c r="I71" s="8" t="s">
        <v>1101</v>
      </c>
      <c r="J71" s="16"/>
      <c r="K71" s="16"/>
      <c r="L71" s="14"/>
      <c r="M71" s="14"/>
      <c r="N71" s="14"/>
      <c r="O71" s="14"/>
    </row>
    <row r="72" spans="1:15" x14ac:dyDescent="0.35">
      <c r="A72" s="8" t="s">
        <v>1111</v>
      </c>
      <c r="B72" s="8">
        <v>1</v>
      </c>
      <c r="C72" s="8" t="s">
        <v>442</v>
      </c>
      <c r="D72" s="8">
        <v>1</v>
      </c>
      <c r="E72" s="8">
        <v>1</v>
      </c>
      <c r="F72" s="8" t="s">
        <v>241</v>
      </c>
      <c r="G72" s="8" t="s">
        <v>248</v>
      </c>
      <c r="H72" s="8" t="str">
        <f t="shared" ca="1" si="3"/>
        <v>Transmission and Storage</v>
      </c>
      <c r="I72" s="8" t="s">
        <v>1102</v>
      </c>
      <c r="J72" s="16"/>
      <c r="K72" s="16"/>
      <c r="L72" s="14"/>
      <c r="M72" s="14"/>
      <c r="N72" s="14"/>
      <c r="O72" s="14"/>
    </row>
    <row r="73" spans="1:15" x14ac:dyDescent="0.35">
      <c r="A73" s="8" t="s">
        <v>1111</v>
      </c>
      <c r="B73" s="8">
        <v>1</v>
      </c>
      <c r="C73" s="8" t="s">
        <v>442</v>
      </c>
      <c r="D73" s="8">
        <v>1</v>
      </c>
      <c r="E73" s="8">
        <v>1</v>
      </c>
      <c r="F73" s="8" t="s">
        <v>241</v>
      </c>
      <c r="G73" s="8" t="s">
        <v>248</v>
      </c>
      <c r="H73" s="8" t="str">
        <f t="shared" ca="1" si="3"/>
        <v>Distribution</v>
      </c>
      <c r="I73" s="8" t="s">
        <v>84</v>
      </c>
      <c r="J73" s="16"/>
      <c r="K73" s="16"/>
      <c r="L73" s="14"/>
      <c r="M73" s="14"/>
      <c r="N73" s="14"/>
      <c r="O73" s="14"/>
    </row>
    <row r="74" spans="1:15" x14ac:dyDescent="0.35">
      <c r="A74" s="8" t="s">
        <v>1111</v>
      </c>
      <c r="B74" s="8">
        <v>1</v>
      </c>
      <c r="C74" s="8" t="s">
        <v>442</v>
      </c>
      <c r="D74" s="8">
        <v>1</v>
      </c>
      <c r="E74" s="8">
        <v>1</v>
      </c>
      <c r="F74" s="8" t="s">
        <v>241</v>
      </c>
      <c r="G74" s="8" t="s">
        <v>248</v>
      </c>
      <c r="H74" s="8" t="str">
        <f t="shared" ca="1" si="3"/>
        <v>Post-Meter</v>
      </c>
      <c r="I74" s="8" t="s">
        <v>1103</v>
      </c>
      <c r="J74" s="16"/>
      <c r="K74" s="16"/>
      <c r="L74" s="14"/>
      <c r="M74" s="14"/>
      <c r="N74" s="14"/>
      <c r="O74" s="14"/>
    </row>
    <row r="75" spans="1:15" x14ac:dyDescent="0.35">
      <c r="A75" s="8" t="s">
        <v>1111</v>
      </c>
      <c r="B75" s="8">
        <v>1</v>
      </c>
      <c r="C75" s="8" t="s">
        <v>442</v>
      </c>
      <c r="D75" s="8">
        <v>1</v>
      </c>
      <c r="E75" s="8">
        <v>1</v>
      </c>
      <c r="F75" s="8" t="s">
        <v>241</v>
      </c>
      <c r="G75" s="8" t="s">
        <v>248</v>
      </c>
      <c r="H75" s="8" t="str">
        <f t="shared" ca="1" si="3"/>
        <v>Other</v>
      </c>
      <c r="I75" s="8" t="s">
        <v>1003</v>
      </c>
      <c r="J75" s="16"/>
      <c r="K75" s="16"/>
      <c r="L75" s="14"/>
      <c r="M75" s="14"/>
      <c r="N75" s="14"/>
      <c r="O75" s="14"/>
    </row>
    <row r="76" spans="1:15" x14ac:dyDescent="0.35">
      <c r="A76" s="8" t="s">
        <v>1111</v>
      </c>
      <c r="B76" s="8">
        <v>1</v>
      </c>
      <c r="C76" s="8" t="s">
        <v>442</v>
      </c>
      <c r="D76" s="8">
        <v>1</v>
      </c>
      <c r="E76" s="8">
        <v>1</v>
      </c>
      <c r="F76" s="8" t="s">
        <v>241</v>
      </c>
      <c r="G76" s="8" t="s">
        <v>248</v>
      </c>
      <c r="H76" s="8" t="str">
        <f t="shared" ca="1" si="3"/>
        <v>Abandoned Gas Wells</v>
      </c>
      <c r="I76" s="8" t="s">
        <v>1009</v>
      </c>
      <c r="J76" s="16"/>
      <c r="K76" s="16"/>
      <c r="L76" s="14"/>
      <c r="M76" s="14"/>
      <c r="N76" s="14"/>
      <c r="O76" s="14"/>
    </row>
    <row r="77" spans="1:15" x14ac:dyDescent="0.35">
      <c r="A77" s="8" t="s">
        <v>989</v>
      </c>
      <c r="B77" s="8">
        <v>3</v>
      </c>
      <c r="C77" s="8" t="s">
        <v>160</v>
      </c>
      <c r="D77" s="8">
        <v>1</v>
      </c>
      <c r="E77" s="8">
        <v>1</v>
      </c>
      <c r="F77" s="8" t="s">
        <v>241</v>
      </c>
      <c r="G77" s="8" t="s">
        <v>249</v>
      </c>
      <c r="H77" s="8" t="str">
        <f t="shared" ref="H77:H272" ca="1" si="4">IF(INDIRECT($C$1&amp;ROW())="","",INDIRECT($C$1&amp;ROW()))</f>
        <v>FUEL USE INPUT DATA (IPCC)</v>
      </c>
      <c r="I77" s="8" t="s">
        <v>1167</v>
      </c>
      <c r="J77" s="8"/>
      <c r="K77" s="16"/>
    </row>
    <row r="78" spans="1:15" x14ac:dyDescent="0.35">
      <c r="A78" s="8" t="s">
        <v>989</v>
      </c>
      <c r="B78" s="8">
        <v>3</v>
      </c>
      <c r="C78" s="8" t="s">
        <v>160</v>
      </c>
      <c r="D78" s="8">
        <v>1</v>
      </c>
      <c r="E78" s="8">
        <v>1</v>
      </c>
      <c r="F78" s="8" t="s">
        <v>241</v>
      </c>
      <c r="G78" s="8" t="s">
        <v>249</v>
      </c>
      <c r="H78" s="8" t="str">
        <f t="shared" ca="1" si="4"/>
        <v>Asset or System Definition</v>
      </c>
      <c r="I78" s="8" t="s">
        <v>1207</v>
      </c>
      <c r="J78" s="188" t="s">
        <v>1173</v>
      </c>
      <c r="K78" s="16" t="s">
        <v>1174</v>
      </c>
    </row>
    <row r="79" spans="1:15" ht="15" customHeight="1" x14ac:dyDescent="0.35">
      <c r="A79" s="8" t="s">
        <v>989</v>
      </c>
      <c r="B79" s="8">
        <v>3</v>
      </c>
      <c r="C79" s="8" t="s">
        <v>160</v>
      </c>
      <c r="D79" s="8">
        <v>1</v>
      </c>
      <c r="E79" s="8">
        <v>1</v>
      </c>
      <c r="F79" s="8" t="s">
        <v>241</v>
      </c>
      <c r="G79" s="8" t="s">
        <v>249</v>
      </c>
      <c r="H79" s="8" t="str">
        <f t="shared" ca="1" si="4"/>
        <v>Parameter</v>
      </c>
      <c r="I79" s="8" t="s">
        <v>1219</v>
      </c>
      <c r="J79" s="8"/>
      <c r="K79" s="16"/>
    </row>
    <row r="80" spans="1:15" ht="15" customHeight="1" x14ac:dyDescent="0.35">
      <c r="A80" s="8" t="s">
        <v>989</v>
      </c>
      <c r="B80" s="8">
        <v>3</v>
      </c>
      <c r="C80" s="8" t="s">
        <v>160</v>
      </c>
      <c r="D80" s="8">
        <v>1</v>
      </c>
      <c r="E80" s="8">
        <v>1</v>
      </c>
      <c r="F80" s="8" t="s">
        <v>241</v>
      </c>
      <c r="G80" s="8" t="s">
        <v>249</v>
      </c>
      <c r="H80" s="8" t="str">
        <f t="shared" ca="1" si="4"/>
        <v>Solid Fuel Consumption</v>
      </c>
      <c r="I80" s="8" t="s">
        <v>992</v>
      </c>
      <c r="J80" s="8"/>
      <c r="K80" s="16"/>
    </row>
    <row r="81" spans="1:11" ht="15" customHeight="1" x14ac:dyDescent="0.35">
      <c r="A81" s="8" t="s">
        <v>989</v>
      </c>
      <c r="B81" s="8">
        <v>3</v>
      </c>
      <c r="C81" s="8" t="s">
        <v>160</v>
      </c>
      <c r="D81" s="8">
        <v>1</v>
      </c>
      <c r="E81" s="8">
        <v>1</v>
      </c>
      <c r="F81" s="8" t="s">
        <v>241</v>
      </c>
      <c r="G81" s="8" t="s">
        <v>249</v>
      </c>
      <c r="H81" s="8" t="str">
        <f t="shared" ca="1" si="4"/>
        <v>Liquid Fuel Consumption</v>
      </c>
      <c r="I81" s="8" t="s">
        <v>994</v>
      </c>
      <c r="J81" s="8"/>
      <c r="K81" s="16"/>
    </row>
    <row r="82" spans="1:11" ht="15" customHeight="1" x14ac:dyDescent="0.35">
      <c r="A82" s="8" t="s">
        <v>989</v>
      </c>
      <c r="B82" s="8">
        <v>3</v>
      </c>
      <c r="C82" s="8" t="s">
        <v>160</v>
      </c>
      <c r="D82" s="8">
        <v>1</v>
      </c>
      <c r="E82" s="8">
        <v>1</v>
      </c>
      <c r="F82" s="8" t="s">
        <v>241</v>
      </c>
      <c r="G82" s="8" t="s">
        <v>249</v>
      </c>
      <c r="H82" s="8" t="str">
        <f t="shared" ca="1" si="4"/>
        <v>Natural Gas Consumption</v>
      </c>
      <c r="I82" s="8" t="s">
        <v>995</v>
      </c>
      <c r="J82" s="8"/>
      <c r="K82" s="16"/>
    </row>
    <row r="83" spans="1:11" ht="15" customHeight="1" x14ac:dyDescent="0.35">
      <c r="A83" s="8" t="s">
        <v>989</v>
      </c>
      <c r="B83" s="8">
        <v>3</v>
      </c>
      <c r="C83" s="8" t="s">
        <v>160</v>
      </c>
      <c r="D83" s="8">
        <v>1</v>
      </c>
      <c r="E83" s="8">
        <v>1</v>
      </c>
      <c r="F83" s="8" t="s">
        <v>241</v>
      </c>
      <c r="G83" s="8" t="s">
        <v>249</v>
      </c>
      <c r="H83" s="8" t="str">
        <f t="shared" ca="1" si="4"/>
        <v>Sector</v>
      </c>
      <c r="I83" s="8" t="s">
        <v>83</v>
      </c>
      <c r="J83" s="8"/>
      <c r="K83" s="16"/>
    </row>
    <row r="84" spans="1:11" ht="15" customHeight="1" x14ac:dyDescent="0.35">
      <c r="A84" s="8" t="s">
        <v>989</v>
      </c>
      <c r="B84" s="8">
        <v>3</v>
      </c>
      <c r="C84" s="8" t="s">
        <v>160</v>
      </c>
      <c r="D84" s="8">
        <v>1</v>
      </c>
      <c r="E84" s="8">
        <v>1</v>
      </c>
      <c r="F84" s="8" t="s">
        <v>241</v>
      </c>
      <c r="G84" s="8" t="s">
        <v>249</v>
      </c>
      <c r="H84" s="8" t="str">
        <f t="shared" ca="1" si="4"/>
        <v>Subcategory</v>
      </c>
      <c r="I84" s="8" t="s">
        <v>28</v>
      </c>
      <c r="J84" s="8"/>
      <c r="K84" s="16"/>
    </row>
    <row r="85" spans="1:11" ht="15" customHeight="1" x14ac:dyDescent="0.35">
      <c r="A85" s="8" t="s">
        <v>989</v>
      </c>
      <c r="B85" s="8">
        <v>3</v>
      </c>
      <c r="C85" s="8" t="s">
        <v>160</v>
      </c>
      <c r="D85" s="8">
        <v>1</v>
      </c>
      <c r="E85" s="8">
        <v>1</v>
      </c>
      <c r="F85" s="8" t="s">
        <v>241</v>
      </c>
      <c r="G85" s="8" t="s">
        <v>249</v>
      </c>
      <c r="H85" s="8" t="str">
        <f t="shared" ca="1" si="4"/>
        <v>Type</v>
      </c>
      <c r="I85" s="8" t="s">
        <v>0</v>
      </c>
      <c r="J85" s="8"/>
      <c r="K85" s="16"/>
    </row>
    <row r="86" spans="1:11" ht="15" customHeight="1" x14ac:dyDescent="0.35">
      <c r="A86" s="8" t="s">
        <v>989</v>
      </c>
      <c r="B86" s="8">
        <v>3</v>
      </c>
      <c r="C86" s="8" t="s">
        <v>160</v>
      </c>
      <c r="D86" s="8">
        <v>1</v>
      </c>
      <c r="E86" s="8">
        <v>1</v>
      </c>
      <c r="F86" s="8" t="s">
        <v>241</v>
      </c>
      <c r="G86" s="8" t="s">
        <v>249</v>
      </c>
      <c r="H86" s="8" t="str">
        <f t="shared" ca="1" si="4"/>
        <v>Value</v>
      </c>
      <c r="I86" s="8" t="s">
        <v>1</v>
      </c>
      <c r="J86" s="8"/>
      <c r="K86" s="16"/>
    </row>
    <row r="87" spans="1:11" ht="15" customHeight="1" x14ac:dyDescent="0.35">
      <c r="A87" s="8" t="s">
        <v>989</v>
      </c>
      <c r="B87" s="8">
        <v>3</v>
      </c>
      <c r="C87" s="8" t="s">
        <v>160</v>
      </c>
      <c r="D87" s="8">
        <v>1</v>
      </c>
      <c r="E87" s="8">
        <v>1</v>
      </c>
      <c r="F87" s="8" t="s">
        <v>241</v>
      </c>
      <c r="G87" s="8" t="s">
        <v>249</v>
      </c>
      <c r="H87" s="8" t="str">
        <f t="shared" ca="1" si="4"/>
        <v>Units of Measure</v>
      </c>
      <c r="I87" s="8" t="s">
        <v>109</v>
      </c>
      <c r="J87" s="8"/>
      <c r="K87" s="16"/>
    </row>
    <row r="88" spans="1:11" ht="15" customHeight="1" x14ac:dyDescent="0.35">
      <c r="A88" s="8" t="s">
        <v>989</v>
      </c>
      <c r="B88" s="8">
        <v>3</v>
      </c>
      <c r="C88" s="8" t="s">
        <v>160</v>
      </c>
      <c r="D88" s="8">
        <v>1</v>
      </c>
      <c r="E88" s="8">
        <v>1</v>
      </c>
      <c r="F88" s="8" t="s">
        <v>241</v>
      </c>
      <c r="G88" s="8" t="s">
        <v>249</v>
      </c>
      <c r="H88" s="8" t="str">
        <f t="shared" ca="1" si="4"/>
        <v>Type</v>
      </c>
      <c r="I88" s="8" t="s">
        <v>0</v>
      </c>
      <c r="J88" s="8"/>
      <c r="K88" s="16"/>
    </row>
    <row r="89" spans="1:11" ht="15" customHeight="1" x14ac:dyDescent="0.35">
      <c r="A89" s="8" t="s">
        <v>989</v>
      </c>
      <c r="B89" s="8">
        <v>3</v>
      </c>
      <c r="C89" s="8" t="s">
        <v>160</v>
      </c>
      <c r="D89" s="8">
        <v>1</v>
      </c>
      <c r="E89" s="8">
        <v>1</v>
      </c>
      <c r="F89" s="8" t="s">
        <v>241</v>
      </c>
      <c r="G89" s="8" t="s">
        <v>249</v>
      </c>
      <c r="H89" s="8" t="str">
        <f t="shared" ca="1" si="4"/>
        <v>Value</v>
      </c>
      <c r="I89" s="8" t="s">
        <v>1</v>
      </c>
      <c r="J89" s="8"/>
      <c r="K89" s="16"/>
    </row>
    <row r="90" spans="1:11" ht="15" customHeight="1" x14ac:dyDescent="0.35">
      <c r="A90" s="8" t="s">
        <v>989</v>
      </c>
      <c r="B90" s="8">
        <v>3</v>
      </c>
      <c r="C90" s="8" t="s">
        <v>160</v>
      </c>
      <c r="D90" s="8">
        <v>1</v>
      </c>
      <c r="E90" s="8">
        <v>1</v>
      </c>
      <c r="F90" s="8" t="s">
        <v>241</v>
      </c>
      <c r="G90" s="8" t="s">
        <v>249</v>
      </c>
      <c r="H90" s="8" t="str">
        <f t="shared" ca="1" si="4"/>
        <v>Units of Measure</v>
      </c>
      <c r="I90" s="8" t="s">
        <v>109</v>
      </c>
      <c r="J90" s="8"/>
      <c r="K90" s="16"/>
    </row>
    <row r="91" spans="1:11" x14ac:dyDescent="0.35">
      <c r="A91" s="8" t="s">
        <v>989</v>
      </c>
      <c r="B91" s="8">
        <v>3</v>
      </c>
      <c r="C91" s="8" t="s">
        <v>160</v>
      </c>
      <c r="D91" s="8">
        <v>1</v>
      </c>
      <c r="E91" s="8">
        <v>1</v>
      </c>
      <c r="F91" s="8" t="s">
        <v>241</v>
      </c>
      <c r="G91" s="8" t="s">
        <v>249</v>
      </c>
      <c r="H91" s="8" t="str">
        <f t="shared" ca="1" si="4"/>
        <v>Value</v>
      </c>
      <c r="I91" s="8" t="s">
        <v>1</v>
      </c>
      <c r="J91" s="8"/>
      <c r="K91" s="16"/>
    </row>
    <row r="92" spans="1:11" x14ac:dyDescent="0.35">
      <c r="A92" s="8" t="s">
        <v>989</v>
      </c>
      <c r="B92" s="8">
        <v>3</v>
      </c>
      <c r="C92" s="8" t="s">
        <v>160</v>
      </c>
      <c r="D92" s="8">
        <v>1</v>
      </c>
      <c r="E92" s="8">
        <v>1</v>
      </c>
      <c r="F92" s="8" t="s">
        <v>241</v>
      </c>
      <c r="G92" s="8" t="s">
        <v>249</v>
      </c>
      <c r="H92" s="8" t="str">
        <f t="shared" ca="1" si="4"/>
        <v>Units of Measure</v>
      </c>
      <c r="I92" s="8" t="s">
        <v>109</v>
      </c>
      <c r="J92" s="8"/>
      <c r="K92" s="16"/>
    </row>
    <row r="93" spans="1:11" x14ac:dyDescent="0.35">
      <c r="A93" s="8" t="s">
        <v>989</v>
      </c>
      <c r="B93" s="8">
        <v>3</v>
      </c>
      <c r="C93" s="8" t="s">
        <v>160</v>
      </c>
      <c r="D93" s="8">
        <v>1</v>
      </c>
      <c r="E93" s="8">
        <v>1</v>
      </c>
      <c r="F93" s="8" t="s">
        <v>241</v>
      </c>
      <c r="G93" s="8" t="s">
        <v>249</v>
      </c>
      <c r="H93" s="8" t="str">
        <f t="shared" ca="1" si="4"/>
        <v>Energy Industries</v>
      </c>
      <c r="I93" s="8" t="s">
        <v>990</v>
      </c>
      <c r="J93" s="8"/>
      <c r="K93" s="16"/>
    </row>
    <row r="94" spans="1:11" ht="15.5" x14ac:dyDescent="0.35">
      <c r="A94" s="8" t="s">
        <v>989</v>
      </c>
      <c r="B94" s="8">
        <v>3</v>
      </c>
      <c r="C94" s="8" t="s">
        <v>160</v>
      </c>
      <c r="D94" s="8">
        <v>1</v>
      </c>
      <c r="E94" s="8">
        <v>1</v>
      </c>
      <c r="F94" s="8" t="s">
        <v>241</v>
      </c>
      <c r="G94" s="8" t="s">
        <v>249</v>
      </c>
      <c r="H94" s="8" t="str">
        <f t="shared" ca="1" si="4"/>
        <v>Petroleum Refining</v>
      </c>
      <c r="I94" s="115" t="s">
        <v>991</v>
      </c>
      <c r="J94" s="8"/>
      <c r="K94" s="16"/>
    </row>
    <row r="95" spans="1:11" x14ac:dyDescent="0.35">
      <c r="A95" s="8" t="s">
        <v>989</v>
      </c>
      <c r="B95" s="8">
        <v>3</v>
      </c>
      <c r="C95" s="8" t="s">
        <v>160</v>
      </c>
      <c r="D95" s="8">
        <v>1</v>
      </c>
      <c r="E95" s="8">
        <v>1</v>
      </c>
      <c r="F95" s="8" t="s">
        <v>241</v>
      </c>
      <c r="G95" s="8" t="s">
        <v>249</v>
      </c>
      <c r="H95" s="8" t="str">
        <f t="shared" ca="1" si="4"/>
        <v>Other Energy Industries</v>
      </c>
      <c r="I95" s="132" t="s">
        <v>993</v>
      </c>
      <c r="J95" s="8"/>
      <c r="K95" s="16"/>
    </row>
    <row r="96" spans="1:11" x14ac:dyDescent="0.35">
      <c r="A96" s="8" t="s">
        <v>989</v>
      </c>
      <c r="B96" s="8">
        <v>3</v>
      </c>
      <c r="C96" s="8" t="s">
        <v>160</v>
      </c>
      <c r="D96" s="8">
        <v>1</v>
      </c>
      <c r="E96" s="8">
        <v>1</v>
      </c>
      <c r="F96" s="8" t="s">
        <v>241</v>
      </c>
      <c r="G96" s="8" t="s">
        <v>249</v>
      </c>
      <c r="H96" s="8" t="str">
        <f t="shared" ca="1" si="4"/>
        <v>FUGITIVE EMISSIONS INPUT DATA (IPCC)</v>
      </c>
      <c r="I96" s="8" t="s">
        <v>1168</v>
      </c>
      <c r="J96" s="8"/>
      <c r="K96" s="16"/>
    </row>
    <row r="97" spans="1:15" x14ac:dyDescent="0.35">
      <c r="A97" s="8" t="s">
        <v>989</v>
      </c>
      <c r="B97" s="8">
        <v>3</v>
      </c>
      <c r="C97" s="8" t="s">
        <v>160</v>
      </c>
      <c r="D97" s="8">
        <v>1</v>
      </c>
      <c r="E97" s="8">
        <v>1</v>
      </c>
      <c r="F97" s="8" t="s">
        <v>241</v>
      </c>
      <c r="G97" s="8" t="s">
        <v>249</v>
      </c>
      <c r="H97" s="8" t="str">
        <f t="shared" ca="1" si="4"/>
        <v>Industry Segment</v>
      </c>
      <c r="I97" s="8" t="s">
        <v>22</v>
      </c>
      <c r="J97" s="8"/>
      <c r="K97" s="16"/>
    </row>
    <row r="98" spans="1:15" x14ac:dyDescent="0.35">
      <c r="A98" s="8" t="s">
        <v>989</v>
      </c>
      <c r="B98" s="8">
        <v>3</v>
      </c>
      <c r="C98" s="8" t="s">
        <v>160</v>
      </c>
      <c r="D98" s="8">
        <v>1</v>
      </c>
      <c r="E98" s="8">
        <v>1</v>
      </c>
      <c r="F98" s="8" t="s">
        <v>241</v>
      </c>
      <c r="G98" s="8" t="s">
        <v>249</v>
      </c>
      <c r="H98" s="8" t="str">
        <f t="shared" ca="1" si="4"/>
        <v>Sub-segment</v>
      </c>
      <c r="I98" s="8" t="s">
        <v>1026</v>
      </c>
      <c r="J98" s="8"/>
      <c r="K98" s="16"/>
    </row>
    <row r="99" spans="1:15" x14ac:dyDescent="0.35">
      <c r="A99" s="8" t="s">
        <v>989</v>
      </c>
      <c r="B99" s="8">
        <v>3</v>
      </c>
      <c r="C99" s="8" t="s">
        <v>160</v>
      </c>
      <c r="D99" s="8">
        <v>1</v>
      </c>
      <c r="E99" s="8">
        <v>1</v>
      </c>
      <c r="F99" s="8" t="s">
        <v>241</v>
      </c>
      <c r="G99" s="8" t="s">
        <v>249</v>
      </c>
      <c r="H99" s="8" t="str">
        <f t="shared" ca="1" si="4"/>
        <v>Type of Activity Parameter</v>
      </c>
      <c r="I99" s="8" t="s">
        <v>1022</v>
      </c>
      <c r="J99" s="8"/>
      <c r="K99" s="16"/>
    </row>
    <row r="100" spans="1:15" x14ac:dyDescent="0.35">
      <c r="A100" s="8" t="s">
        <v>989</v>
      </c>
      <c r="B100" s="8">
        <v>3</v>
      </c>
      <c r="C100" s="8" t="s">
        <v>160</v>
      </c>
      <c r="D100" s="8">
        <v>1</v>
      </c>
      <c r="E100" s="8">
        <v>1</v>
      </c>
      <c r="F100" s="8" t="s">
        <v>241</v>
      </c>
      <c r="G100" s="8" t="s">
        <v>249</v>
      </c>
      <c r="H100" s="8" t="str">
        <f t="shared" ca="1" si="4"/>
        <v>Value</v>
      </c>
      <c r="I100" s="8" t="s">
        <v>1</v>
      </c>
      <c r="J100" s="8"/>
      <c r="K100" s="16"/>
    </row>
    <row r="101" spans="1:15" x14ac:dyDescent="0.35">
      <c r="A101" s="8" t="s">
        <v>989</v>
      </c>
      <c r="B101" s="8">
        <v>3</v>
      </c>
      <c r="C101" s="8" t="s">
        <v>160</v>
      </c>
      <c r="D101" s="8">
        <v>1</v>
      </c>
      <c r="E101" s="8">
        <v>1</v>
      </c>
      <c r="F101" s="8" t="s">
        <v>241</v>
      </c>
      <c r="G101" s="8" t="s">
        <v>249</v>
      </c>
      <c r="H101" s="8" t="str">
        <f t="shared" ca="1" si="4"/>
        <v>Units of Measure</v>
      </c>
      <c r="I101" s="8" t="s">
        <v>109</v>
      </c>
      <c r="J101" s="8"/>
      <c r="K101" s="16"/>
    </row>
    <row r="102" spans="1:15" x14ac:dyDescent="0.35">
      <c r="A102" s="8" t="s">
        <v>989</v>
      </c>
      <c r="B102" s="8">
        <v>3</v>
      </c>
      <c r="C102" s="8" t="s">
        <v>160</v>
      </c>
      <c r="D102" s="8">
        <v>1</v>
      </c>
      <c r="E102" s="8">
        <v>1</v>
      </c>
      <c r="F102" s="8" t="s">
        <v>241</v>
      </c>
      <c r="G102" s="8" t="s">
        <v>249</v>
      </c>
      <c r="H102" s="8" t="str">
        <f t="shared" ca="1" si="4"/>
        <v>Pollutant</v>
      </c>
      <c r="I102" s="8" t="s">
        <v>1025</v>
      </c>
      <c r="J102" s="8"/>
      <c r="K102" s="16"/>
    </row>
    <row r="103" spans="1:15" x14ac:dyDescent="0.35">
      <c r="A103" s="8" t="s">
        <v>989</v>
      </c>
      <c r="B103" s="8">
        <v>3</v>
      </c>
      <c r="C103" s="8" t="s">
        <v>160</v>
      </c>
      <c r="D103" s="8">
        <v>1</v>
      </c>
      <c r="E103" s="8">
        <v>1</v>
      </c>
      <c r="F103" s="8" t="s">
        <v>241</v>
      </c>
      <c r="G103" s="8" t="s">
        <v>249</v>
      </c>
      <c r="H103" s="8" t="str">
        <f t="shared" ca="1" si="4"/>
        <v>Emission Factor Selection</v>
      </c>
      <c r="I103" s="8" t="s">
        <v>1023</v>
      </c>
      <c r="J103" s="8"/>
      <c r="K103" s="16"/>
    </row>
    <row r="104" spans="1:15" x14ac:dyDescent="0.35">
      <c r="A104" s="8" t="s">
        <v>989</v>
      </c>
      <c r="B104" s="8">
        <v>3</v>
      </c>
      <c r="C104" s="8" t="s">
        <v>160</v>
      </c>
      <c r="D104" s="8">
        <v>1</v>
      </c>
      <c r="E104" s="8">
        <v>1</v>
      </c>
      <c r="F104" s="8" t="s">
        <v>241</v>
      </c>
      <c r="G104" s="8" t="s">
        <v>249</v>
      </c>
      <c r="H104" s="8" t="str">
        <f t="shared" ca="1" si="4"/>
        <v>Tier 1</v>
      </c>
      <c r="I104" s="8" t="s">
        <v>1012</v>
      </c>
      <c r="J104" s="8"/>
      <c r="K104" s="16"/>
    </row>
    <row r="105" spans="1:15" x14ac:dyDescent="0.35">
      <c r="A105" s="8" t="s">
        <v>989</v>
      </c>
      <c r="B105" s="8">
        <v>3</v>
      </c>
      <c r="C105" s="8" t="s">
        <v>160</v>
      </c>
      <c r="D105" s="8">
        <v>1</v>
      </c>
      <c r="E105" s="8">
        <v>1</v>
      </c>
      <c r="F105" s="8" t="s">
        <v>241</v>
      </c>
      <c r="G105" s="8" t="s">
        <v>249</v>
      </c>
      <c r="H105" s="8" t="str">
        <f t="shared" ca="1" si="4"/>
        <v>Tier 2</v>
      </c>
      <c r="I105" s="8" t="s">
        <v>1013</v>
      </c>
      <c r="J105" s="8"/>
      <c r="K105" s="16"/>
    </row>
    <row r="106" spans="1:15" x14ac:dyDescent="0.35">
      <c r="A106" s="8" t="s">
        <v>989</v>
      </c>
      <c r="B106" s="8">
        <v>3</v>
      </c>
      <c r="C106" s="8" t="s">
        <v>160</v>
      </c>
      <c r="D106" s="8">
        <v>1</v>
      </c>
      <c r="E106" s="8">
        <v>1</v>
      </c>
      <c r="F106" s="8" t="s">
        <v>241</v>
      </c>
      <c r="G106" s="8" t="s">
        <v>249</v>
      </c>
      <c r="H106" s="8" t="str">
        <f t="shared" ca="1" si="4"/>
        <v>Applied</v>
      </c>
      <c r="I106" s="8" t="s">
        <v>1024</v>
      </c>
      <c r="J106" s="8"/>
      <c r="K106" s="16"/>
    </row>
    <row r="107" spans="1:15" x14ac:dyDescent="0.35">
      <c r="A107" s="8" t="s">
        <v>989</v>
      </c>
      <c r="B107" s="8">
        <v>3</v>
      </c>
      <c r="C107" s="8" t="s">
        <v>160</v>
      </c>
      <c r="D107" s="8">
        <v>1</v>
      </c>
      <c r="E107" s="8">
        <v>1</v>
      </c>
      <c r="F107" s="8" t="s">
        <v>241</v>
      </c>
      <c r="G107" s="8" t="s">
        <v>249</v>
      </c>
      <c r="H107" s="8" t="str">
        <f t="shared" ca="1" si="4"/>
        <v>Units of Measure</v>
      </c>
      <c r="I107" s="8" t="s">
        <v>109</v>
      </c>
      <c r="J107" s="8"/>
      <c r="K107" s="16"/>
    </row>
    <row r="108" spans="1:15" x14ac:dyDescent="0.35">
      <c r="A108" s="8" t="s">
        <v>989</v>
      </c>
      <c r="B108" s="8">
        <v>1</v>
      </c>
      <c r="C108" s="8" t="s">
        <v>442</v>
      </c>
      <c r="D108" s="8">
        <v>1</v>
      </c>
      <c r="E108" s="8">
        <v>1</v>
      </c>
      <c r="F108" s="8" t="s">
        <v>241</v>
      </c>
      <c r="G108" s="8" t="s">
        <v>248</v>
      </c>
      <c r="H108" s="8" t="str">
        <f t="shared" ca="1" si="4"/>
        <v>CH4</v>
      </c>
      <c r="I108" s="8" t="s">
        <v>38</v>
      </c>
      <c r="J108" s="8" t="s">
        <v>38</v>
      </c>
      <c r="K108" s="8" t="s">
        <v>38</v>
      </c>
      <c r="L108" s="14"/>
      <c r="M108" s="14"/>
      <c r="N108" s="14"/>
      <c r="O108" s="14"/>
    </row>
    <row r="109" spans="1:15" x14ac:dyDescent="0.35">
      <c r="A109" s="8" t="s">
        <v>989</v>
      </c>
      <c r="B109" s="8">
        <v>1</v>
      </c>
      <c r="C109" s="8" t="s">
        <v>442</v>
      </c>
      <c r="D109" s="8">
        <v>1</v>
      </c>
      <c r="E109" s="8">
        <v>1</v>
      </c>
      <c r="F109" s="8" t="s">
        <v>241</v>
      </c>
      <c r="G109" s="8" t="s">
        <v>248</v>
      </c>
      <c r="H109" s="8" t="str">
        <f t="shared" ca="1" si="4"/>
        <v>CO2</v>
      </c>
      <c r="I109" s="8" t="s">
        <v>43</v>
      </c>
      <c r="J109" s="8" t="s">
        <v>43</v>
      </c>
      <c r="K109" s="8" t="s">
        <v>43</v>
      </c>
      <c r="L109" s="14"/>
      <c r="M109" s="14"/>
      <c r="N109" s="14"/>
      <c r="O109" s="14"/>
    </row>
    <row r="110" spans="1:15" x14ac:dyDescent="0.35">
      <c r="A110" s="8" t="s">
        <v>989</v>
      </c>
      <c r="B110" s="8">
        <v>1</v>
      </c>
      <c r="C110" s="8" t="s">
        <v>442</v>
      </c>
      <c r="D110" s="8">
        <v>1</v>
      </c>
      <c r="E110" s="8">
        <v>1</v>
      </c>
      <c r="F110" s="8" t="s">
        <v>241</v>
      </c>
      <c r="G110" s="8" t="s">
        <v>248</v>
      </c>
      <c r="H110" s="8" t="str">
        <f t="shared" ca="1" si="4"/>
        <v>N2O</v>
      </c>
      <c r="I110" s="8" t="s">
        <v>164</v>
      </c>
      <c r="J110" s="8" t="s">
        <v>164</v>
      </c>
      <c r="K110" s="8" t="s">
        <v>164</v>
      </c>
      <c r="L110" s="14"/>
      <c r="M110" s="14"/>
      <c r="N110" s="14"/>
      <c r="O110" s="14"/>
    </row>
    <row r="111" spans="1:15" x14ac:dyDescent="0.35">
      <c r="A111" s="8" t="s">
        <v>989</v>
      </c>
      <c r="B111" s="8">
        <v>1</v>
      </c>
      <c r="C111" s="8" t="s">
        <v>442</v>
      </c>
      <c r="D111" s="8">
        <v>1</v>
      </c>
      <c r="E111" s="8">
        <v>1</v>
      </c>
      <c r="F111" s="8" t="s">
        <v>241</v>
      </c>
      <c r="G111" s="8" t="s">
        <v>248</v>
      </c>
      <c r="H111" s="8" t="str">
        <f t="shared" ca="1" si="4"/>
        <v>NOx</v>
      </c>
      <c r="I111" s="8" t="s">
        <v>1175</v>
      </c>
      <c r="J111" s="8" t="s">
        <v>1175</v>
      </c>
      <c r="K111" s="8" t="s">
        <v>1175</v>
      </c>
      <c r="L111" s="14"/>
      <c r="M111" s="14"/>
      <c r="N111" s="14"/>
      <c r="O111" s="14"/>
    </row>
    <row r="112" spans="1:15" x14ac:dyDescent="0.35">
      <c r="A112" s="8" t="s">
        <v>989</v>
      </c>
      <c r="B112" s="8">
        <v>1</v>
      </c>
      <c r="C112" s="8" t="s">
        <v>442</v>
      </c>
      <c r="D112" s="8">
        <v>1</v>
      </c>
      <c r="E112" s="8">
        <v>1</v>
      </c>
      <c r="F112" s="8" t="s">
        <v>241</v>
      </c>
      <c r="G112" s="8" t="s">
        <v>248</v>
      </c>
      <c r="H112" s="8" t="str">
        <f t="shared" ca="1" si="4"/>
        <v>CO</v>
      </c>
      <c r="I112" s="8" t="s">
        <v>1176</v>
      </c>
      <c r="J112" s="8" t="s">
        <v>1176</v>
      </c>
      <c r="K112" s="8" t="s">
        <v>1176</v>
      </c>
      <c r="L112" s="14"/>
      <c r="M112" s="14"/>
      <c r="N112" s="14"/>
      <c r="O112" s="14"/>
    </row>
    <row r="113" spans="1:15" x14ac:dyDescent="0.35">
      <c r="A113" s="8" t="s">
        <v>989</v>
      </c>
      <c r="B113" s="8">
        <v>1</v>
      </c>
      <c r="C113" s="8" t="s">
        <v>442</v>
      </c>
      <c r="D113" s="8">
        <v>1</v>
      </c>
      <c r="E113" s="8">
        <v>1</v>
      </c>
      <c r="F113" s="8" t="s">
        <v>241</v>
      </c>
      <c r="G113" s="8" t="s">
        <v>248</v>
      </c>
      <c r="H113" s="8" t="str">
        <f t="shared" ca="1" si="4"/>
        <v>NMVOC</v>
      </c>
      <c r="I113" s="8" t="s">
        <v>1027</v>
      </c>
      <c r="J113" s="8" t="s">
        <v>1027</v>
      </c>
      <c r="K113" s="8" t="s">
        <v>1027</v>
      </c>
      <c r="L113" s="14"/>
      <c r="M113" s="14"/>
      <c r="N113" s="14"/>
      <c r="O113" s="14"/>
    </row>
    <row r="114" spans="1:15" x14ac:dyDescent="0.35">
      <c r="A114" s="8" t="s">
        <v>989</v>
      </c>
      <c r="B114" s="8">
        <v>1</v>
      </c>
      <c r="C114" s="8" t="s">
        <v>442</v>
      </c>
      <c r="D114" s="8">
        <v>1</v>
      </c>
      <c r="E114" s="8">
        <v>1</v>
      </c>
      <c r="F114" s="8" t="s">
        <v>241</v>
      </c>
      <c r="G114" s="8" t="s">
        <v>248</v>
      </c>
      <c r="H114" s="8" t="str">
        <f t="shared" ca="1" si="4"/>
        <v>SO2</v>
      </c>
      <c r="I114" s="8" t="s">
        <v>1177</v>
      </c>
      <c r="J114" s="8" t="s">
        <v>1177</v>
      </c>
      <c r="K114" s="8" t="s">
        <v>1177</v>
      </c>
      <c r="L114" s="14"/>
      <c r="M114" s="14"/>
      <c r="N114" s="14"/>
      <c r="O114" s="14"/>
    </row>
    <row r="115" spans="1:15" x14ac:dyDescent="0.35">
      <c r="A115" s="8" t="s">
        <v>989</v>
      </c>
      <c r="B115" s="8">
        <v>3</v>
      </c>
      <c r="C115" s="8" t="s">
        <v>160</v>
      </c>
      <c r="D115" s="8">
        <v>1</v>
      </c>
      <c r="E115" s="8">
        <v>1</v>
      </c>
      <c r="F115" s="8" t="s">
        <v>241</v>
      </c>
      <c r="G115" s="8" t="s">
        <v>249</v>
      </c>
      <c r="H115" s="8" t="str">
        <f t="shared" ca="1" si="4"/>
        <v>Oil Exploration</v>
      </c>
      <c r="I115" s="8" t="s">
        <v>996</v>
      </c>
      <c r="J115" s="8"/>
      <c r="K115" s="16"/>
    </row>
    <row r="116" spans="1:15" x14ac:dyDescent="0.35">
      <c r="A116" s="8" t="s">
        <v>989</v>
      </c>
      <c r="B116" s="8">
        <v>3</v>
      </c>
      <c r="C116" s="8" t="s">
        <v>160</v>
      </c>
      <c r="D116" s="8">
        <v>1</v>
      </c>
      <c r="E116" s="8">
        <v>1</v>
      </c>
      <c r="F116" s="8" t="s">
        <v>241</v>
      </c>
      <c r="G116" s="8" t="s">
        <v>249</v>
      </c>
      <c r="H116" s="8" t="str">
        <f t="shared" ca="1" si="4"/>
        <v>Oil Production and Upgrading</v>
      </c>
      <c r="I116" s="8" t="s">
        <v>997</v>
      </c>
      <c r="J116" s="8"/>
      <c r="K116" s="16"/>
    </row>
    <row r="117" spans="1:15" x14ac:dyDescent="0.35">
      <c r="A117" s="8" t="s">
        <v>989</v>
      </c>
      <c r="B117" s="8">
        <v>3</v>
      </c>
      <c r="C117" s="8" t="s">
        <v>160</v>
      </c>
      <c r="D117" s="8">
        <v>1</v>
      </c>
      <c r="E117" s="8">
        <v>1</v>
      </c>
      <c r="F117" s="8" t="s">
        <v>241</v>
      </c>
      <c r="G117" s="8" t="s">
        <v>249</v>
      </c>
      <c r="H117" s="8" t="str">
        <f t="shared" ca="1" si="4"/>
        <v>Oil Transport</v>
      </c>
      <c r="I117" s="8" t="s">
        <v>998</v>
      </c>
      <c r="J117" s="8"/>
      <c r="K117" s="16"/>
    </row>
    <row r="118" spans="1:15" x14ac:dyDescent="0.35">
      <c r="A118" s="8" t="s">
        <v>989</v>
      </c>
      <c r="B118" s="8">
        <v>3</v>
      </c>
      <c r="C118" s="8" t="s">
        <v>160</v>
      </c>
      <c r="D118" s="8">
        <v>1</v>
      </c>
      <c r="E118" s="8">
        <v>1</v>
      </c>
      <c r="F118" s="8" t="s">
        <v>241</v>
      </c>
      <c r="G118" s="8" t="s">
        <v>249</v>
      </c>
      <c r="H118" s="8" t="str">
        <f t="shared" ca="1" si="4"/>
        <v>Oil Refining</v>
      </c>
      <c r="I118" s="8" t="s">
        <v>1001</v>
      </c>
      <c r="J118" s="8"/>
      <c r="K118" s="16"/>
    </row>
    <row r="119" spans="1:15" x14ac:dyDescent="0.35">
      <c r="A119" s="8" t="s">
        <v>989</v>
      </c>
      <c r="B119" s="8">
        <v>3</v>
      </c>
      <c r="C119" s="8" t="s">
        <v>160</v>
      </c>
      <c r="D119" s="8">
        <v>1</v>
      </c>
      <c r="E119" s="8">
        <v>1</v>
      </c>
      <c r="F119" s="8" t="s">
        <v>241</v>
      </c>
      <c r="G119" s="8" t="s">
        <v>249</v>
      </c>
      <c r="H119" s="8" t="str">
        <f t="shared" ca="1" si="4"/>
        <v>Distribution of Oil Products</v>
      </c>
      <c r="I119" s="8" t="s">
        <v>1002</v>
      </c>
      <c r="J119" s="8"/>
      <c r="K119" s="16"/>
    </row>
    <row r="120" spans="1:15" x14ac:dyDescent="0.35">
      <c r="A120" s="8" t="s">
        <v>989</v>
      </c>
      <c r="B120" s="8">
        <v>3</v>
      </c>
      <c r="C120" s="8" t="s">
        <v>160</v>
      </c>
      <c r="D120" s="8">
        <v>1</v>
      </c>
      <c r="E120" s="8">
        <v>1</v>
      </c>
      <c r="F120" s="8" t="s">
        <v>241</v>
      </c>
      <c r="G120" s="8" t="s">
        <v>249</v>
      </c>
      <c r="H120" s="8" t="str">
        <f t="shared" ca="1" si="4"/>
        <v>Oil Other</v>
      </c>
      <c r="I120" s="8" t="s">
        <v>1226</v>
      </c>
      <c r="J120" s="8"/>
      <c r="K120" s="16"/>
    </row>
    <row r="121" spans="1:15" x14ac:dyDescent="0.35">
      <c r="A121" s="8" t="s">
        <v>989</v>
      </c>
      <c r="B121" s="8">
        <v>3</v>
      </c>
      <c r="C121" s="8" t="s">
        <v>160</v>
      </c>
      <c r="D121" s="8">
        <v>1</v>
      </c>
      <c r="E121" s="8">
        <v>1</v>
      </c>
      <c r="F121" s="8" t="s">
        <v>241</v>
      </c>
      <c r="G121" s="8" t="s">
        <v>249</v>
      </c>
      <c r="H121" s="8" t="str">
        <f t="shared" ca="1" si="4"/>
        <v>Abandoned Oil Wells</v>
      </c>
      <c r="I121" s="8" t="s">
        <v>1004</v>
      </c>
      <c r="J121" s="8"/>
      <c r="K121" s="16"/>
    </row>
    <row r="122" spans="1:15" x14ac:dyDescent="0.35">
      <c r="A122" s="8" t="s">
        <v>989</v>
      </c>
      <c r="B122" s="8">
        <v>3</v>
      </c>
      <c r="C122" s="8" t="s">
        <v>160</v>
      </c>
      <c r="D122" s="8">
        <v>1</v>
      </c>
      <c r="E122" s="8">
        <v>1</v>
      </c>
      <c r="F122" s="8" t="s">
        <v>241</v>
      </c>
      <c r="G122" s="8" t="s">
        <v>249</v>
      </c>
      <c r="H122" s="8" t="str">
        <f t="shared" ca="1" si="4"/>
        <v>Gas Exploration</v>
      </c>
      <c r="I122" s="8" t="s">
        <v>1005</v>
      </c>
      <c r="J122" s="8"/>
      <c r="K122" s="16"/>
    </row>
    <row r="123" spans="1:15" x14ac:dyDescent="0.35">
      <c r="A123" s="8" t="s">
        <v>989</v>
      </c>
      <c r="B123" s="8">
        <v>3</v>
      </c>
      <c r="C123" s="8" t="s">
        <v>160</v>
      </c>
      <c r="D123" s="8">
        <v>1</v>
      </c>
      <c r="E123" s="8">
        <v>1</v>
      </c>
      <c r="F123" s="8" t="s">
        <v>241</v>
      </c>
      <c r="G123" s="8" t="s">
        <v>249</v>
      </c>
      <c r="H123" s="8" t="str">
        <f t="shared" ca="1" si="4"/>
        <v>Gas Production and Gathering</v>
      </c>
      <c r="I123" s="8" t="s">
        <v>1006</v>
      </c>
      <c r="J123" s="8"/>
      <c r="K123" s="16"/>
    </row>
    <row r="124" spans="1:15" x14ac:dyDescent="0.35">
      <c r="A124" s="8" t="s">
        <v>989</v>
      </c>
      <c r="B124" s="8">
        <v>3</v>
      </c>
      <c r="C124" s="8" t="s">
        <v>160</v>
      </c>
      <c r="D124" s="8">
        <v>1</v>
      </c>
      <c r="E124" s="8">
        <v>1</v>
      </c>
      <c r="F124" s="8" t="s">
        <v>241</v>
      </c>
      <c r="G124" s="8" t="s">
        <v>249</v>
      </c>
      <c r="H124" s="8" t="str">
        <f t="shared" ca="1" si="4"/>
        <v>Gas Processing</v>
      </c>
      <c r="I124" s="8" t="s">
        <v>23</v>
      </c>
      <c r="J124" s="8"/>
      <c r="K124" s="16"/>
    </row>
    <row r="125" spans="1:15" x14ac:dyDescent="0.35">
      <c r="A125" s="8" t="s">
        <v>989</v>
      </c>
      <c r="B125" s="8">
        <v>3</v>
      </c>
      <c r="C125" s="8" t="s">
        <v>160</v>
      </c>
      <c r="D125" s="8">
        <v>1</v>
      </c>
      <c r="E125" s="8">
        <v>1</v>
      </c>
      <c r="F125" s="8" t="s">
        <v>241</v>
      </c>
      <c r="G125" s="8" t="s">
        <v>249</v>
      </c>
      <c r="H125" s="8" t="str">
        <f t="shared" ca="1" si="4"/>
        <v>Gas Transmission and Storage</v>
      </c>
      <c r="I125" s="8" t="s">
        <v>1007</v>
      </c>
      <c r="J125" s="8"/>
      <c r="K125" s="16"/>
    </row>
    <row r="126" spans="1:15" x14ac:dyDescent="0.35">
      <c r="A126" s="8" t="s">
        <v>989</v>
      </c>
      <c r="B126" s="8">
        <v>3</v>
      </c>
      <c r="C126" s="8" t="s">
        <v>160</v>
      </c>
      <c r="D126" s="8">
        <v>1</v>
      </c>
      <c r="E126" s="8">
        <v>1</v>
      </c>
      <c r="F126" s="8" t="s">
        <v>241</v>
      </c>
      <c r="G126" s="8" t="s">
        <v>249</v>
      </c>
      <c r="H126" s="8" t="str">
        <f t="shared" ca="1" si="4"/>
        <v>Gas Distribution</v>
      </c>
      <c r="I126" s="8" t="s">
        <v>26</v>
      </c>
      <c r="J126" s="8"/>
      <c r="K126" s="16"/>
    </row>
    <row r="127" spans="1:15" x14ac:dyDescent="0.35">
      <c r="A127" s="8" t="s">
        <v>989</v>
      </c>
      <c r="B127" s="8">
        <v>3</v>
      </c>
      <c r="C127" s="8" t="s">
        <v>160</v>
      </c>
      <c r="D127" s="8">
        <v>1</v>
      </c>
      <c r="E127" s="8">
        <v>1</v>
      </c>
      <c r="F127" s="8" t="s">
        <v>241</v>
      </c>
      <c r="G127" s="8" t="s">
        <v>249</v>
      </c>
      <c r="H127" s="8" t="str">
        <f t="shared" ca="1" si="4"/>
        <v>Gas Post-Meter</v>
      </c>
      <c r="I127" s="8" t="s">
        <v>1008</v>
      </c>
      <c r="J127" s="8"/>
      <c r="K127" s="16"/>
    </row>
    <row r="128" spans="1:15" x14ac:dyDescent="0.35">
      <c r="A128" s="8" t="s">
        <v>989</v>
      </c>
      <c r="B128" s="8">
        <v>3</v>
      </c>
      <c r="C128" s="8" t="s">
        <v>160</v>
      </c>
      <c r="D128" s="8">
        <v>1</v>
      </c>
      <c r="E128" s="8">
        <v>1</v>
      </c>
      <c r="F128" s="8" t="s">
        <v>241</v>
      </c>
      <c r="G128" s="8" t="s">
        <v>249</v>
      </c>
      <c r="H128" s="8" t="str">
        <f t="shared" ca="1" si="4"/>
        <v>Gas Other</v>
      </c>
      <c r="I128" s="8" t="s">
        <v>1227</v>
      </c>
      <c r="J128" s="8"/>
      <c r="K128" s="16"/>
    </row>
    <row r="129" spans="1:11" x14ac:dyDescent="0.35">
      <c r="A129" s="8" t="s">
        <v>989</v>
      </c>
      <c r="B129" s="8">
        <v>3</v>
      </c>
      <c r="C129" s="8" t="s">
        <v>160</v>
      </c>
      <c r="D129" s="8">
        <v>1</v>
      </c>
      <c r="E129" s="8">
        <v>1</v>
      </c>
      <c r="F129" s="8" t="s">
        <v>241</v>
      </c>
      <c r="G129" s="8" t="s">
        <v>249</v>
      </c>
      <c r="H129" s="8" t="str">
        <f t="shared" ca="1" si="4"/>
        <v>Abandoned Gas Wells</v>
      </c>
      <c r="I129" s="8" t="s">
        <v>1009</v>
      </c>
      <c r="J129" s="8"/>
      <c r="K129" s="16"/>
    </row>
    <row r="130" spans="1:11" x14ac:dyDescent="0.35">
      <c r="A130" s="8" t="s">
        <v>989</v>
      </c>
      <c r="B130" s="8">
        <v>3</v>
      </c>
      <c r="C130" s="8" t="s">
        <v>160</v>
      </c>
      <c r="D130" s="8">
        <v>1</v>
      </c>
      <c r="E130" s="8">
        <v>1</v>
      </c>
      <c r="F130" s="8" t="s">
        <v>241</v>
      </c>
      <c r="G130" s="8" t="s">
        <v>249</v>
      </c>
      <c r="H130" s="8" t="str">
        <f t="shared" ca="1" si="4"/>
        <v>Onshore unconventional without flaring or recovery</v>
      </c>
      <c r="I130" t="s">
        <v>1164</v>
      </c>
      <c r="J130" s="8"/>
      <c r="K130" s="16"/>
    </row>
    <row r="131" spans="1:11" x14ac:dyDescent="0.35">
      <c r="A131" s="8" t="s">
        <v>989</v>
      </c>
      <c r="B131" s="8">
        <v>3</v>
      </c>
      <c r="C131" s="8" t="s">
        <v>160</v>
      </c>
      <c r="D131" s="8">
        <v>1</v>
      </c>
      <c r="E131" s="8">
        <v>1</v>
      </c>
      <c r="F131" s="8" t="s">
        <v>241</v>
      </c>
      <c r="G131" s="8" t="s">
        <v>249</v>
      </c>
      <c r="H131" s="8" t="str">
        <f t="shared" ca="1" si="4"/>
        <v>Onshore unconventional with flaring or recovery</v>
      </c>
      <c r="I131" t="s">
        <v>1165</v>
      </c>
      <c r="J131" s="8"/>
      <c r="K131" s="16"/>
    </row>
    <row r="132" spans="1:11" x14ac:dyDescent="0.35">
      <c r="A132" s="8" t="s">
        <v>989</v>
      </c>
      <c r="B132" s="8">
        <v>3</v>
      </c>
      <c r="C132" s="8" t="s">
        <v>160</v>
      </c>
      <c r="D132" s="8">
        <v>1</v>
      </c>
      <c r="E132" s="8">
        <v>1</v>
      </c>
      <c r="F132" s="8" t="s">
        <v>241</v>
      </c>
      <c r="G132" s="8" t="s">
        <v>249</v>
      </c>
      <c r="H132" s="8" t="str">
        <f t="shared" ca="1" si="4"/>
        <v>Onshore Conventional</v>
      </c>
      <c r="I132" t="s">
        <v>1030</v>
      </c>
      <c r="J132" s="8"/>
      <c r="K132" s="16"/>
    </row>
    <row r="133" spans="1:11" x14ac:dyDescent="0.35">
      <c r="A133" s="8" t="s">
        <v>989</v>
      </c>
      <c r="B133" s="8">
        <v>3</v>
      </c>
      <c r="C133" s="8" t="s">
        <v>160</v>
      </c>
      <c r="D133" s="8">
        <v>1</v>
      </c>
      <c r="E133" s="8">
        <v>1</v>
      </c>
      <c r="F133" s="8" t="s">
        <v>241</v>
      </c>
      <c r="G133" s="8" t="s">
        <v>249</v>
      </c>
      <c r="H133" s="8" t="str">
        <f t="shared" ca="1" si="4"/>
        <v>Onshore: Most activities occurring with higher- emitting technologies and practices</v>
      </c>
      <c r="I133" t="s">
        <v>1033</v>
      </c>
      <c r="J133" s="8"/>
      <c r="K133" s="16"/>
    </row>
    <row r="134" spans="1:11" x14ac:dyDescent="0.35">
      <c r="A134" s="8" t="s">
        <v>989</v>
      </c>
      <c r="B134" s="8">
        <v>3</v>
      </c>
      <c r="C134" s="8" t="s">
        <v>160</v>
      </c>
      <c r="D134" s="8">
        <v>1</v>
      </c>
      <c r="E134" s="8">
        <v>1</v>
      </c>
      <c r="F134" s="8" t="s">
        <v>241</v>
      </c>
      <c r="G134" s="8" t="s">
        <v>249</v>
      </c>
      <c r="H134" s="8" t="str">
        <f t="shared" ca="1" si="4"/>
        <v>Onshore: Most activities occurring with lower-emitting technologies and practices</v>
      </c>
      <c r="I134" t="s">
        <v>1037</v>
      </c>
      <c r="J134" s="8"/>
      <c r="K134" s="16"/>
    </row>
    <row r="135" spans="1:11" x14ac:dyDescent="0.35">
      <c r="A135" s="8" t="s">
        <v>989</v>
      </c>
      <c r="B135" s="8">
        <v>3</v>
      </c>
      <c r="C135" s="8" t="s">
        <v>160</v>
      </c>
      <c r="D135" s="8">
        <v>1</v>
      </c>
      <c r="E135" s="8">
        <v>1</v>
      </c>
      <c r="F135" s="8" t="s">
        <v>241</v>
      </c>
      <c r="G135" s="8" t="s">
        <v>249</v>
      </c>
      <c r="H135" s="8" t="str">
        <f t="shared" ca="1" si="4"/>
        <v>Onshore All</v>
      </c>
      <c r="I135" t="s">
        <v>1228</v>
      </c>
      <c r="J135" s="8"/>
      <c r="K135" s="16"/>
    </row>
    <row r="136" spans="1:11" x14ac:dyDescent="0.35">
      <c r="A136" s="8" t="s">
        <v>989</v>
      </c>
      <c r="B136" s="8">
        <v>3</v>
      </c>
      <c r="C136" s="8" t="s">
        <v>160</v>
      </c>
      <c r="D136" s="8">
        <v>1</v>
      </c>
      <c r="E136" s="8">
        <v>1</v>
      </c>
      <c r="F136" s="8" t="s">
        <v>241</v>
      </c>
      <c r="G136" s="8" t="s">
        <v>249</v>
      </c>
      <c r="H136" s="8" t="str">
        <f t="shared" ca="1" si="4"/>
        <v>Onshore: Oil Sands Mining and Ore Processing</v>
      </c>
      <c r="I136" t="s">
        <v>1036</v>
      </c>
      <c r="J136" s="8"/>
      <c r="K136" s="16"/>
    </row>
    <row r="137" spans="1:11" x14ac:dyDescent="0.35">
      <c r="A137" s="8" t="s">
        <v>989</v>
      </c>
      <c r="B137" s="8">
        <v>3</v>
      </c>
      <c r="C137" s="8" t="s">
        <v>160</v>
      </c>
      <c r="D137" s="8">
        <v>1</v>
      </c>
      <c r="E137" s="8">
        <v>1</v>
      </c>
      <c r="F137" s="8" t="s">
        <v>241</v>
      </c>
      <c r="G137" s="8" t="s">
        <v>249</v>
      </c>
      <c r="H137" s="8" t="str">
        <f t="shared" ca="1" si="4"/>
        <v>Onshore: Oil Sands Upgrading</v>
      </c>
      <c r="I137" t="s">
        <v>1035</v>
      </c>
      <c r="J137" s="8"/>
      <c r="K137" s="16"/>
    </row>
    <row r="138" spans="1:11" x14ac:dyDescent="0.35">
      <c r="A138" s="8" t="s">
        <v>989</v>
      </c>
      <c r="B138" s="8">
        <v>3</v>
      </c>
      <c r="C138" s="8" t="s">
        <v>160</v>
      </c>
      <c r="D138" s="8">
        <v>1</v>
      </c>
      <c r="E138" s="8">
        <v>1</v>
      </c>
      <c r="F138" s="8" t="s">
        <v>241</v>
      </c>
      <c r="G138" s="8" t="s">
        <v>249</v>
      </c>
      <c r="H138" s="8" t="str">
        <f t="shared" ca="1" si="4"/>
        <v>Offshore</v>
      </c>
      <c r="I138" t="s">
        <v>1034</v>
      </c>
      <c r="J138" s="8"/>
      <c r="K138" s="16"/>
    </row>
    <row r="139" spans="1:11" x14ac:dyDescent="0.35">
      <c r="A139" s="8" t="s">
        <v>989</v>
      </c>
      <c r="B139" s="8">
        <v>3</v>
      </c>
      <c r="C139" s="8" t="s">
        <v>160</v>
      </c>
      <c r="D139" s="8">
        <v>1</v>
      </c>
      <c r="E139" s="8">
        <v>1</v>
      </c>
      <c r="F139" s="8" t="s">
        <v>241</v>
      </c>
      <c r="G139" s="8" t="s">
        <v>249</v>
      </c>
      <c r="H139" s="8" t="str">
        <f t="shared" ca="1" si="4"/>
        <v>Pipelines</v>
      </c>
      <c r="I139" t="s">
        <v>999</v>
      </c>
      <c r="J139" s="8"/>
      <c r="K139" s="16"/>
    </row>
    <row r="140" spans="1:11" x14ac:dyDescent="0.35">
      <c r="A140" s="8" t="s">
        <v>989</v>
      </c>
      <c r="B140" s="8">
        <v>3</v>
      </c>
      <c r="C140" s="8" t="s">
        <v>160</v>
      </c>
      <c r="D140" s="8">
        <v>1</v>
      </c>
      <c r="E140" s="8">
        <v>1</v>
      </c>
      <c r="F140" s="8" t="s">
        <v>241</v>
      </c>
      <c r="G140" s="8" t="s">
        <v>249</v>
      </c>
      <c r="H140" s="8" t="str">
        <f t="shared" ca="1" si="4"/>
        <v>Tanker Trucks and Rail Cars</v>
      </c>
      <c r="I140" t="s">
        <v>1000</v>
      </c>
      <c r="J140" s="8"/>
      <c r="K140" s="16"/>
    </row>
    <row r="141" spans="1:11" x14ac:dyDescent="0.35">
      <c r="A141" s="8" t="s">
        <v>989</v>
      </c>
      <c r="B141" s="8">
        <v>3</v>
      </c>
      <c r="C141" s="8" t="s">
        <v>160</v>
      </c>
      <c r="D141" s="8">
        <v>1</v>
      </c>
      <c r="E141" s="8">
        <v>1</v>
      </c>
      <c r="F141" s="8" t="s">
        <v>241</v>
      </c>
      <c r="G141" s="8" t="s">
        <v>249</v>
      </c>
      <c r="H141" s="8" t="str">
        <f t="shared" ca="1" si="4"/>
        <v>Tanks</v>
      </c>
      <c r="I141" t="s">
        <v>1038</v>
      </c>
      <c r="J141" s="8"/>
      <c r="K141" s="16"/>
    </row>
    <row r="142" spans="1:11" x14ac:dyDescent="0.35">
      <c r="A142" s="8" t="s">
        <v>989</v>
      </c>
      <c r="B142" s="8">
        <v>3</v>
      </c>
      <c r="C142" s="8" t="s">
        <v>160</v>
      </c>
      <c r="D142" s="8">
        <v>1</v>
      </c>
      <c r="E142" s="8">
        <v>1</v>
      </c>
      <c r="F142" s="8" t="s">
        <v>241</v>
      </c>
      <c r="G142" s="8" t="s">
        <v>249</v>
      </c>
      <c r="H142" s="8" t="str">
        <f t="shared" ca="1" si="4"/>
        <v>Loading of offshore production on tanker ships without VRU</v>
      </c>
      <c r="I142" t="s">
        <v>1039</v>
      </c>
      <c r="J142" s="8"/>
      <c r="K142" s="16"/>
    </row>
    <row r="143" spans="1:11" x14ac:dyDescent="0.35">
      <c r="A143" s="8" t="s">
        <v>989</v>
      </c>
      <c r="B143" s="8">
        <v>3</v>
      </c>
      <c r="C143" s="8" t="s">
        <v>160</v>
      </c>
      <c r="D143" s="8">
        <v>1</v>
      </c>
      <c r="E143" s="8">
        <v>1</v>
      </c>
      <c r="F143" s="8" t="s">
        <v>241</v>
      </c>
      <c r="G143" s="8" t="s">
        <v>249</v>
      </c>
      <c r="H143" s="8" t="str">
        <f t="shared" ca="1" si="4"/>
        <v>Loading of offshore production on tanker ships with VRU</v>
      </c>
      <c r="I143" t="s">
        <v>1040</v>
      </c>
      <c r="J143" s="8"/>
      <c r="K143" s="16"/>
    </row>
    <row r="144" spans="1:11" x14ac:dyDescent="0.35">
      <c r="A144" s="8" t="s">
        <v>989</v>
      </c>
      <c r="B144" s="8">
        <v>3</v>
      </c>
      <c r="C144" s="8" t="s">
        <v>160</v>
      </c>
      <c r="D144" s="8">
        <v>1</v>
      </c>
      <c r="E144" s="8">
        <v>1</v>
      </c>
      <c r="F144" s="8" t="s">
        <v>241</v>
      </c>
      <c r="G144" s="8" t="s">
        <v>249</v>
      </c>
      <c r="H144" s="8" t="str">
        <f t="shared" ca="1" si="4"/>
        <v>Offshore All</v>
      </c>
      <c r="I144" t="s">
        <v>1229</v>
      </c>
      <c r="J144" s="8"/>
      <c r="K144" s="16"/>
    </row>
    <row r="145" spans="1:11" x14ac:dyDescent="0.35">
      <c r="A145" s="8" t="s">
        <v>989</v>
      </c>
      <c r="B145" s="8">
        <v>3</v>
      </c>
      <c r="C145" s="8" t="s">
        <v>160</v>
      </c>
      <c r="D145" s="8">
        <v>1</v>
      </c>
      <c r="E145" s="8">
        <v>1</v>
      </c>
      <c r="F145" s="8" t="s">
        <v>241</v>
      </c>
      <c r="G145" s="8" t="s">
        <v>249</v>
      </c>
      <c r="H145" s="8" t="str">
        <f t="shared" ca="1" si="4"/>
        <v>All</v>
      </c>
      <c r="I145" t="s">
        <v>30</v>
      </c>
      <c r="J145" s="8"/>
      <c r="K145" s="16"/>
    </row>
    <row r="146" spans="1:11" x14ac:dyDescent="0.35">
      <c r="A146" s="8" t="s">
        <v>989</v>
      </c>
      <c r="B146" s="8">
        <v>3</v>
      </c>
      <c r="C146" s="8" t="s">
        <v>160</v>
      </c>
      <c r="D146" s="8">
        <v>1</v>
      </c>
      <c r="E146" s="8">
        <v>1</v>
      </c>
      <c r="F146" s="8" t="s">
        <v>241</v>
      </c>
      <c r="G146" s="8" t="s">
        <v>249</v>
      </c>
      <c r="H146" s="8" t="str">
        <f t="shared" ca="1" si="4"/>
        <v>Gasoline</v>
      </c>
      <c r="I146" t="s">
        <v>154</v>
      </c>
      <c r="J146" s="8"/>
      <c r="K146" s="16"/>
    </row>
    <row r="147" spans="1:11" x14ac:dyDescent="0.35">
      <c r="A147" s="8" t="s">
        <v>989</v>
      </c>
      <c r="B147" s="8">
        <v>3</v>
      </c>
      <c r="C147" s="8" t="s">
        <v>160</v>
      </c>
      <c r="D147" s="8">
        <v>1</v>
      </c>
      <c r="E147" s="8">
        <v>1</v>
      </c>
      <c r="F147" s="8" t="s">
        <v>241</v>
      </c>
      <c r="G147" s="8" t="s">
        <v>249</v>
      </c>
      <c r="H147" s="8" t="str">
        <f t="shared" ca="1" si="4"/>
        <v>Other (e.g. diesel, aviation fuel, jet kerosene)</v>
      </c>
      <c r="I147" t="s">
        <v>1042</v>
      </c>
      <c r="J147" s="8"/>
      <c r="K147" s="16"/>
    </row>
    <row r="148" spans="1:11" x14ac:dyDescent="0.35">
      <c r="A148" s="8" t="s">
        <v>989</v>
      </c>
      <c r="B148" s="8">
        <v>3</v>
      </c>
      <c r="C148" s="8" t="s">
        <v>160</v>
      </c>
      <c r="D148" s="8">
        <v>1</v>
      </c>
      <c r="E148" s="8">
        <v>1</v>
      </c>
      <c r="F148" s="8" t="s">
        <v>241</v>
      </c>
      <c r="G148" s="8" t="s">
        <v>249</v>
      </c>
      <c r="H148" s="8" t="str">
        <f t="shared" ca="1" si="4"/>
        <v>All</v>
      </c>
      <c r="I148" t="s">
        <v>30</v>
      </c>
      <c r="J148" s="8"/>
      <c r="K148" s="16"/>
    </row>
    <row r="149" spans="1:11" x14ac:dyDescent="0.35">
      <c r="A149" s="8" t="s">
        <v>989</v>
      </c>
      <c r="B149" s="8">
        <v>3</v>
      </c>
      <c r="C149" s="8" t="s">
        <v>160</v>
      </c>
      <c r="D149" s="8">
        <v>1</v>
      </c>
      <c r="E149" s="8">
        <v>1</v>
      </c>
      <c r="F149" s="8" t="s">
        <v>241</v>
      </c>
      <c r="G149" s="8" t="s">
        <v>249</v>
      </c>
      <c r="H149" s="8" t="str">
        <f t="shared" ca="1" si="4"/>
        <v>Onshore: Plugged</v>
      </c>
      <c r="I149" t="s">
        <v>1043</v>
      </c>
      <c r="J149" s="8"/>
      <c r="K149" s="16"/>
    </row>
    <row r="150" spans="1:11" x14ac:dyDescent="0.35">
      <c r="A150" s="8" t="s">
        <v>989</v>
      </c>
      <c r="B150" s="8">
        <v>3</v>
      </c>
      <c r="C150" s="8" t="s">
        <v>160</v>
      </c>
      <c r="D150" s="8">
        <v>1</v>
      </c>
      <c r="E150" s="8">
        <v>1</v>
      </c>
      <c r="F150" s="8" t="s">
        <v>241</v>
      </c>
      <c r="G150" s="8" t="s">
        <v>249</v>
      </c>
      <c r="H150" s="8" t="str">
        <f t="shared" ca="1" si="4"/>
        <v>Onshore: Unplugged</v>
      </c>
      <c r="I150" t="s">
        <v>1044</v>
      </c>
      <c r="J150" s="8"/>
      <c r="K150" s="16"/>
    </row>
    <row r="151" spans="1:11" x14ac:dyDescent="0.35">
      <c r="A151" s="8" t="s">
        <v>989</v>
      </c>
      <c r="B151" s="8">
        <v>3</v>
      </c>
      <c r="C151" s="8" t="s">
        <v>160</v>
      </c>
      <c r="D151" s="8">
        <v>1</v>
      </c>
      <c r="E151" s="8">
        <v>1</v>
      </c>
      <c r="F151" s="8" t="s">
        <v>241</v>
      </c>
      <c r="G151" s="8" t="s">
        <v>249</v>
      </c>
      <c r="H151" s="8" t="str">
        <f t="shared" ca="1" si="4"/>
        <v>Onshore: All wells (plugged and unplugged)</v>
      </c>
      <c r="I151" t="s">
        <v>1045</v>
      </c>
      <c r="J151" s="8"/>
      <c r="K151" s="16"/>
    </row>
    <row r="152" spans="1:11" x14ac:dyDescent="0.35">
      <c r="A152" s="8" t="s">
        <v>989</v>
      </c>
      <c r="B152" s="8">
        <v>3</v>
      </c>
      <c r="C152" s="8" t="s">
        <v>160</v>
      </c>
      <c r="D152" s="8">
        <v>1</v>
      </c>
      <c r="E152" s="8">
        <v>1</v>
      </c>
      <c r="F152" s="8" t="s">
        <v>241</v>
      </c>
      <c r="G152" s="8" t="s">
        <v>249</v>
      </c>
      <c r="H152" s="8" t="str">
        <f t="shared" ca="1" si="4"/>
        <v>Offshore: Plugged</v>
      </c>
      <c r="I152" t="s">
        <v>1046</v>
      </c>
      <c r="J152" s="8"/>
      <c r="K152" s="16"/>
    </row>
    <row r="153" spans="1:11" x14ac:dyDescent="0.35">
      <c r="A153" s="8" t="s">
        <v>989</v>
      </c>
      <c r="B153" s="8">
        <v>3</v>
      </c>
      <c r="C153" s="8" t="s">
        <v>160</v>
      </c>
      <c r="D153" s="8">
        <v>1</v>
      </c>
      <c r="E153" s="8">
        <v>1</v>
      </c>
      <c r="F153" s="8" t="s">
        <v>241</v>
      </c>
      <c r="G153" s="8" t="s">
        <v>249</v>
      </c>
      <c r="H153" s="8" t="str">
        <f t="shared" ca="1" si="4"/>
        <v>Offshore: Unplugged</v>
      </c>
      <c r="I153" t="s">
        <v>1047</v>
      </c>
      <c r="J153" s="8"/>
      <c r="K153" s="16"/>
    </row>
    <row r="154" spans="1:11" x14ac:dyDescent="0.35">
      <c r="A154" s="8" t="s">
        <v>989</v>
      </c>
      <c r="B154" s="8">
        <v>3</v>
      </c>
      <c r="C154" s="8" t="s">
        <v>160</v>
      </c>
      <c r="D154" s="8">
        <v>1</v>
      </c>
      <c r="E154" s="8">
        <v>1</v>
      </c>
      <c r="F154" s="8" t="s">
        <v>241</v>
      </c>
      <c r="G154" s="8" t="s">
        <v>249</v>
      </c>
      <c r="H154" s="8" t="str">
        <f t="shared" ca="1" si="4"/>
        <v>Offshore: All wells (plugged and unplugged)</v>
      </c>
      <c r="I154" t="s">
        <v>1048</v>
      </c>
      <c r="J154" s="8"/>
      <c r="K154" s="16"/>
    </row>
    <row r="155" spans="1:11" x14ac:dyDescent="0.35">
      <c r="A155" s="8" t="s">
        <v>989</v>
      </c>
      <c r="B155" s="8">
        <v>3</v>
      </c>
      <c r="C155" s="8" t="s">
        <v>160</v>
      </c>
      <c r="D155" s="8">
        <v>1</v>
      </c>
      <c r="E155" s="8">
        <v>1</v>
      </c>
      <c r="F155" s="8" t="s">
        <v>241</v>
      </c>
      <c r="G155" s="8" t="s">
        <v>249</v>
      </c>
      <c r="H155" s="8" t="str">
        <f t="shared" ca="1" si="4"/>
        <v>Onshore unconventional gas exploration without flaring or gas capture</v>
      </c>
      <c r="I155" t="s">
        <v>1055</v>
      </c>
      <c r="J155" s="8"/>
      <c r="K155" s="16"/>
    </row>
    <row r="156" spans="1:11" x14ac:dyDescent="0.35">
      <c r="A156" s="8" t="s">
        <v>989</v>
      </c>
      <c r="B156" s="8">
        <v>3</v>
      </c>
      <c r="C156" s="8" t="s">
        <v>160</v>
      </c>
      <c r="D156" s="8">
        <v>1</v>
      </c>
      <c r="E156" s="8">
        <v>1</v>
      </c>
      <c r="F156" s="8" t="s">
        <v>241</v>
      </c>
      <c r="G156" s="8" t="s">
        <v>249</v>
      </c>
      <c r="H156" s="8" t="str">
        <f t="shared" ca="1" si="4"/>
        <v>Onshore unconventional gas exploration with flaring or gas capture</v>
      </c>
      <c r="I156" t="s">
        <v>1056</v>
      </c>
      <c r="J156" s="8"/>
      <c r="K156" s="16"/>
    </row>
    <row r="157" spans="1:11" x14ac:dyDescent="0.35">
      <c r="A157" s="8" t="s">
        <v>989</v>
      </c>
      <c r="B157" s="8">
        <v>3</v>
      </c>
      <c r="C157" s="8" t="s">
        <v>160</v>
      </c>
      <c r="D157" s="8">
        <v>1</v>
      </c>
      <c r="E157" s="8">
        <v>1</v>
      </c>
      <c r="F157" s="8" t="s">
        <v>241</v>
      </c>
      <c r="G157" s="8" t="s">
        <v>249</v>
      </c>
      <c r="H157" s="8" t="str">
        <f t="shared" ca="1" si="4"/>
        <v>Onshore conventional Gas exploration</v>
      </c>
      <c r="I157" t="s">
        <v>1059</v>
      </c>
      <c r="J157" s="8"/>
      <c r="K157" s="16"/>
    </row>
    <row r="158" spans="1:11" x14ac:dyDescent="0.35">
      <c r="A158" s="8" t="s">
        <v>989</v>
      </c>
      <c r="B158" s="8">
        <v>3</v>
      </c>
      <c r="C158" s="8" t="s">
        <v>160</v>
      </c>
      <c r="D158" s="8">
        <v>1</v>
      </c>
      <c r="E158" s="8">
        <v>1</v>
      </c>
      <c r="F158" s="8" t="s">
        <v>241</v>
      </c>
      <c r="G158" s="8" t="s">
        <v>249</v>
      </c>
      <c r="H158" s="8" t="str">
        <f t="shared" ca="1" si="4"/>
        <v>Onshore: Most activities occurring with higher-emitting technologies and practices</v>
      </c>
      <c r="I158" t="s">
        <v>1061</v>
      </c>
      <c r="J158" s="8"/>
      <c r="K158" s="16"/>
    </row>
    <row r="159" spans="1:11" x14ac:dyDescent="0.35">
      <c r="A159" s="8" t="s">
        <v>989</v>
      </c>
      <c r="B159" s="8">
        <v>3</v>
      </c>
      <c r="C159" s="8" t="s">
        <v>160</v>
      </c>
      <c r="D159" s="8">
        <v>1</v>
      </c>
      <c r="E159" s="8">
        <v>1</v>
      </c>
      <c r="F159" s="8" t="s">
        <v>241</v>
      </c>
      <c r="G159" s="8" t="s">
        <v>249</v>
      </c>
      <c r="H159" s="8" t="str">
        <f t="shared" ca="1" si="4"/>
        <v>Onshore: Most activities occurring with lower-emitting technologies and practices</v>
      </c>
      <c r="I159" t="s">
        <v>1037</v>
      </c>
      <c r="J159" s="8"/>
      <c r="K159" s="16"/>
    </row>
    <row r="160" spans="1:11" x14ac:dyDescent="0.35">
      <c r="A160" s="8" t="s">
        <v>989</v>
      </c>
      <c r="B160" s="8">
        <v>3</v>
      </c>
      <c r="C160" s="8" t="s">
        <v>160</v>
      </c>
      <c r="D160" s="8">
        <v>1</v>
      </c>
      <c r="E160" s="8">
        <v>1</v>
      </c>
      <c r="F160" s="8" t="s">
        <v>241</v>
      </c>
      <c r="G160" s="8" t="s">
        <v>249</v>
      </c>
      <c r="H160" s="8" t="str">
        <f t="shared" ca="1" si="4"/>
        <v>Onshore All</v>
      </c>
      <c r="I160" t="s">
        <v>1228</v>
      </c>
      <c r="J160" s="8"/>
      <c r="K160" s="16"/>
    </row>
    <row r="161" spans="1:11" x14ac:dyDescent="0.35">
      <c r="A161" s="8" t="s">
        <v>989</v>
      </c>
      <c r="B161" s="8">
        <v>3</v>
      </c>
      <c r="C161" s="8" t="s">
        <v>160</v>
      </c>
      <c r="D161" s="8">
        <v>1</v>
      </c>
      <c r="E161" s="8">
        <v>1</v>
      </c>
      <c r="F161" s="8" t="s">
        <v>241</v>
      </c>
      <c r="G161" s="8" t="s">
        <v>249</v>
      </c>
      <c r="H161" s="8" t="str">
        <f t="shared" ca="1" si="4"/>
        <v>Onshore Coal Bed Methane</v>
      </c>
      <c r="I161" t="s">
        <v>1062</v>
      </c>
      <c r="J161" s="8"/>
      <c r="K161" s="16"/>
    </row>
    <row r="162" spans="1:11" x14ac:dyDescent="0.35">
      <c r="A162" s="8" t="s">
        <v>989</v>
      </c>
      <c r="B162" s="8">
        <v>3</v>
      </c>
      <c r="C162" s="8" t="s">
        <v>160</v>
      </c>
      <c r="D162" s="8">
        <v>1</v>
      </c>
      <c r="E162" s="8">
        <v>1</v>
      </c>
      <c r="F162" s="8" t="s">
        <v>241</v>
      </c>
      <c r="G162" s="8" t="s">
        <v>249</v>
      </c>
      <c r="H162" s="8" t="str">
        <f t="shared" ca="1" si="4"/>
        <v>Gathering</v>
      </c>
      <c r="I162" t="s">
        <v>1063</v>
      </c>
      <c r="J162" s="8"/>
      <c r="K162" s="16"/>
    </row>
    <row r="163" spans="1:11" x14ac:dyDescent="0.35">
      <c r="A163" s="8" t="s">
        <v>989</v>
      </c>
      <c r="B163" s="8">
        <v>3</v>
      </c>
      <c r="C163" s="8" t="s">
        <v>160</v>
      </c>
      <c r="D163" s="8">
        <v>1</v>
      </c>
      <c r="E163" s="8">
        <v>1</v>
      </c>
      <c r="F163" s="8" t="s">
        <v>241</v>
      </c>
      <c r="G163" s="8" t="s">
        <v>249</v>
      </c>
      <c r="H163" s="8" t="str">
        <f t="shared" ca="1" si="4"/>
        <v>Offshore</v>
      </c>
      <c r="I163" t="s">
        <v>1034</v>
      </c>
      <c r="J163" s="8"/>
      <c r="K163" s="16"/>
    </row>
    <row r="164" spans="1:11" x14ac:dyDescent="0.35">
      <c r="A164" s="8" t="s">
        <v>989</v>
      </c>
      <c r="B164" s="8">
        <v>3</v>
      </c>
      <c r="C164" s="8" t="s">
        <v>160</v>
      </c>
      <c r="D164" s="8">
        <v>1</v>
      </c>
      <c r="E164" s="8">
        <v>1</v>
      </c>
      <c r="F164" s="8" t="s">
        <v>241</v>
      </c>
      <c r="G164" s="8" t="s">
        <v>249</v>
      </c>
      <c r="H164" s="8" t="str">
        <f t="shared" ca="1" si="4"/>
        <v>Without LDAR, or with limited LDAR, or less than 50% of centrifugal compressors have dry seals</v>
      </c>
      <c r="I164" t="s">
        <v>1065</v>
      </c>
      <c r="J164" s="8"/>
      <c r="K164" s="16"/>
    </row>
    <row r="165" spans="1:11" x14ac:dyDescent="0.35">
      <c r="A165" s="8" t="s">
        <v>989</v>
      </c>
      <c r="B165" s="8">
        <v>3</v>
      </c>
      <c r="C165" s="8" t="s">
        <v>160</v>
      </c>
      <c r="D165" s="8">
        <v>1</v>
      </c>
      <c r="E165" s="8">
        <v>1</v>
      </c>
      <c r="F165" s="8" t="s">
        <v>241</v>
      </c>
      <c r="G165" s="8" t="s">
        <v>249</v>
      </c>
      <c r="H165" s="8" t="str">
        <f t="shared" ca="1" si="4"/>
        <v>Extensive LDAR, and around 50% or more of centrifugal compressors have dry seals</v>
      </c>
      <c r="I165" t="s">
        <v>1066</v>
      </c>
      <c r="J165" s="8"/>
      <c r="K165" s="16"/>
    </row>
    <row r="166" spans="1:11" x14ac:dyDescent="0.35">
      <c r="A166" s="8" t="s">
        <v>989</v>
      </c>
      <c r="B166" s="8">
        <v>3</v>
      </c>
      <c r="C166" s="8" t="s">
        <v>160</v>
      </c>
      <c r="D166" s="8">
        <v>1</v>
      </c>
      <c r="E166" s="8">
        <v>1</v>
      </c>
      <c r="F166" s="8" t="s">
        <v>241</v>
      </c>
      <c r="G166" s="8" t="s">
        <v>249</v>
      </c>
      <c r="H166" s="8" t="str">
        <f t="shared" ca="1" si="4"/>
        <v>Processing All</v>
      </c>
      <c r="I166" t="s">
        <v>1230</v>
      </c>
      <c r="J166" s="8"/>
      <c r="K166" s="16"/>
    </row>
    <row r="167" spans="1:11" x14ac:dyDescent="0.35">
      <c r="A167" s="8" t="s">
        <v>989</v>
      </c>
      <c r="B167" s="8">
        <v>3</v>
      </c>
      <c r="C167" s="8" t="s">
        <v>160</v>
      </c>
      <c r="D167" s="8">
        <v>1</v>
      </c>
      <c r="E167" s="8">
        <v>1</v>
      </c>
      <c r="F167" s="8" t="s">
        <v>241</v>
      </c>
      <c r="G167" s="8" t="s">
        <v>249</v>
      </c>
      <c r="H167" s="8" t="str">
        <f t="shared" ca="1" si="4"/>
        <v>Sour gas (acid gas removal)</v>
      </c>
      <c r="I167" t="s">
        <v>1067</v>
      </c>
      <c r="J167" s="8"/>
      <c r="K167" s="16"/>
    </row>
    <row r="168" spans="1:11" x14ac:dyDescent="0.35">
      <c r="A168" s="8" t="s">
        <v>989</v>
      </c>
      <c r="B168" s="8">
        <v>3</v>
      </c>
      <c r="C168" s="8" t="s">
        <v>160</v>
      </c>
      <c r="D168" s="8">
        <v>1</v>
      </c>
      <c r="E168" s="8">
        <v>1</v>
      </c>
      <c r="F168" s="8" t="s">
        <v>241</v>
      </c>
      <c r="G168" s="8" t="s">
        <v>249</v>
      </c>
      <c r="H168" s="8" t="str">
        <f t="shared" ca="1" si="4"/>
        <v>Transmission: Limited LDAR or less than 50% of centrifugal compressors have dry seals</v>
      </c>
      <c r="I168" t="s">
        <v>1069</v>
      </c>
      <c r="J168" s="8"/>
      <c r="K168" s="16"/>
    </row>
    <row r="169" spans="1:11" x14ac:dyDescent="0.35">
      <c r="A169" s="8" t="s">
        <v>989</v>
      </c>
      <c r="B169" s="8">
        <v>3</v>
      </c>
      <c r="C169" s="8" t="s">
        <v>160</v>
      </c>
      <c r="D169" s="8">
        <v>1</v>
      </c>
      <c r="E169" s="8">
        <v>1</v>
      </c>
      <c r="F169" s="8" t="s">
        <v>241</v>
      </c>
      <c r="G169" s="8" t="s">
        <v>249</v>
      </c>
      <c r="H169" s="8" t="str">
        <f t="shared" ca="1" si="4"/>
        <v>Transmission: Extensive LDAR, and around 50% or more of centrifugal compressors have dry seals</v>
      </c>
      <c r="I169" t="s">
        <v>1070</v>
      </c>
      <c r="J169" s="8"/>
      <c r="K169" s="16"/>
    </row>
    <row r="170" spans="1:11" x14ac:dyDescent="0.35">
      <c r="A170" s="8" t="s">
        <v>989</v>
      </c>
      <c r="B170" s="8">
        <v>3</v>
      </c>
      <c r="C170" s="8" t="s">
        <v>160</v>
      </c>
      <c r="D170" s="8">
        <v>1</v>
      </c>
      <c r="E170" s="8">
        <v>1</v>
      </c>
      <c r="F170" s="8" t="s">
        <v>241</v>
      </c>
      <c r="G170" s="8" t="s">
        <v>249</v>
      </c>
      <c r="H170" s="8" t="str">
        <f t="shared" ca="1" si="4"/>
        <v>Transmission All</v>
      </c>
      <c r="I170" t="s">
        <v>1231</v>
      </c>
      <c r="J170" s="8"/>
      <c r="K170" s="16"/>
    </row>
    <row r="171" spans="1:11" x14ac:dyDescent="0.35">
      <c r="A171" s="8" t="s">
        <v>989</v>
      </c>
      <c r="B171" s="8">
        <v>3</v>
      </c>
      <c r="C171" s="8" t="s">
        <v>160</v>
      </c>
      <c r="D171" s="8">
        <v>1</v>
      </c>
      <c r="E171" s="8">
        <v>1</v>
      </c>
      <c r="F171" s="8" t="s">
        <v>241</v>
      </c>
      <c r="G171" s="8" t="s">
        <v>249</v>
      </c>
      <c r="H171" s="8" t="str">
        <f t="shared" ca="1" si="4"/>
        <v>Storage: Limited LDAR or most activities occurring with higher- emitting technologies and practices</v>
      </c>
      <c r="I171" t="s">
        <v>1071</v>
      </c>
      <c r="J171" s="8"/>
      <c r="K171" s="16"/>
    </row>
    <row r="172" spans="1:11" x14ac:dyDescent="0.35">
      <c r="A172" s="8" t="s">
        <v>989</v>
      </c>
      <c r="B172" s="8">
        <v>3</v>
      </c>
      <c r="C172" s="8" t="s">
        <v>160</v>
      </c>
      <c r="D172" s="8">
        <v>1</v>
      </c>
      <c r="E172" s="8">
        <v>1</v>
      </c>
      <c r="F172" s="8" t="s">
        <v>241</v>
      </c>
      <c r="G172" s="8" t="s">
        <v>249</v>
      </c>
      <c r="H172" s="8" t="str">
        <f t="shared" ca="1" si="4"/>
        <v>Storage: Extensive LDAR and lower-emitting technologies and practices</v>
      </c>
      <c r="I172" t="s">
        <v>1072</v>
      </c>
      <c r="J172" s="8"/>
      <c r="K172" s="16"/>
    </row>
    <row r="173" spans="1:11" x14ac:dyDescent="0.35">
      <c r="A173" s="8" t="s">
        <v>989</v>
      </c>
      <c r="B173" s="8">
        <v>3</v>
      </c>
      <c r="C173" s="8" t="s">
        <v>160</v>
      </c>
      <c r="D173" s="8">
        <v>1</v>
      </c>
      <c r="E173" s="8">
        <v>1</v>
      </c>
      <c r="F173" s="8" t="s">
        <v>241</v>
      </c>
      <c r="G173" s="8" t="s">
        <v>249</v>
      </c>
      <c r="H173" s="8" t="str">
        <f t="shared" ca="1" si="4"/>
        <v>LNG: Import/Export</v>
      </c>
      <c r="I173" t="s">
        <v>1073</v>
      </c>
      <c r="J173" s="8"/>
      <c r="K173" s="16"/>
    </row>
    <row r="174" spans="1:11" x14ac:dyDescent="0.35">
      <c r="A174" s="8" t="s">
        <v>989</v>
      </c>
      <c r="B174" s="8">
        <v>3</v>
      </c>
      <c r="C174" s="8" t="s">
        <v>160</v>
      </c>
      <c r="D174" s="8">
        <v>1</v>
      </c>
      <c r="E174" s="8">
        <v>1</v>
      </c>
      <c r="F174" s="8" t="s">
        <v>241</v>
      </c>
      <c r="G174" s="8" t="s">
        <v>249</v>
      </c>
      <c r="H174" s="8" t="str">
        <f t="shared" ca="1" si="4"/>
        <v>LNG: Storage</v>
      </c>
      <c r="I174" t="s">
        <v>1091</v>
      </c>
      <c r="J174" s="8"/>
      <c r="K174" s="16"/>
    </row>
    <row r="175" spans="1:11" x14ac:dyDescent="0.35">
      <c r="A175" s="8" t="s">
        <v>989</v>
      </c>
      <c r="B175" s="8">
        <v>3</v>
      </c>
      <c r="C175" s="8" t="s">
        <v>160</v>
      </c>
      <c r="D175" s="8">
        <v>1</v>
      </c>
      <c r="E175" s="8">
        <v>1</v>
      </c>
      <c r="F175" s="8" t="s">
        <v>241</v>
      </c>
      <c r="G175" s="8" t="s">
        <v>249</v>
      </c>
      <c r="H175" s="8" t="str">
        <f t="shared" ca="1" si="4"/>
        <v>Less than 50% plastic pipelines, or limited or no leak detection and repair programs</v>
      </c>
      <c r="I175" t="s">
        <v>1208</v>
      </c>
      <c r="J175" s="8"/>
      <c r="K175" s="16"/>
    </row>
    <row r="176" spans="1:11" x14ac:dyDescent="0.35">
      <c r="A176" s="8" t="s">
        <v>989</v>
      </c>
      <c r="B176" s="8">
        <v>3</v>
      </c>
      <c r="C176" s="8" t="s">
        <v>160</v>
      </c>
      <c r="D176" s="8">
        <v>1</v>
      </c>
      <c r="E176" s="8">
        <v>1</v>
      </c>
      <c r="F176" s="8" t="s">
        <v>241</v>
      </c>
      <c r="G176" s="8" t="s">
        <v>249</v>
      </c>
      <c r="H176" s="8" t="str">
        <f t="shared" ca="1" si="4"/>
        <v>Greater than 50% plastic pipelines, and leak detection and repair programs are in use</v>
      </c>
      <c r="I176" t="s">
        <v>1075</v>
      </c>
      <c r="J176" s="8"/>
      <c r="K176" s="16"/>
    </row>
    <row r="177" spans="1:11" x14ac:dyDescent="0.35">
      <c r="A177" s="8" t="s">
        <v>989</v>
      </c>
      <c r="B177" s="8">
        <v>3</v>
      </c>
      <c r="C177" s="8" t="s">
        <v>160</v>
      </c>
      <c r="D177" s="8">
        <v>1</v>
      </c>
      <c r="E177" s="8">
        <v>1</v>
      </c>
      <c r="F177" s="8" t="s">
        <v>241</v>
      </c>
      <c r="G177" s="8" t="s">
        <v>249</v>
      </c>
      <c r="H177" s="8" t="str">
        <f t="shared" ca="1" si="4"/>
        <v>Distribution All</v>
      </c>
      <c r="I177" t="s">
        <v>1232</v>
      </c>
      <c r="J177" s="8"/>
      <c r="K177" s="16"/>
    </row>
    <row r="178" spans="1:11" x14ac:dyDescent="0.35">
      <c r="A178" s="8" t="s">
        <v>989</v>
      </c>
      <c r="B178" s="8">
        <v>3</v>
      </c>
      <c r="C178" s="8" t="s">
        <v>160</v>
      </c>
      <c r="D178" s="8">
        <v>1</v>
      </c>
      <c r="E178" s="8">
        <v>1</v>
      </c>
      <c r="F178" s="8" t="s">
        <v>241</v>
      </c>
      <c r="G178" s="8" t="s">
        <v>249</v>
      </c>
      <c r="H178" s="8" t="str">
        <f t="shared" ca="1" si="4"/>
        <v>Short term surface storage</v>
      </c>
      <c r="I178" t="s">
        <v>1076</v>
      </c>
      <c r="J178" s="8"/>
      <c r="K178" s="16"/>
    </row>
    <row r="179" spans="1:11" x14ac:dyDescent="0.35">
      <c r="A179" s="8" t="s">
        <v>989</v>
      </c>
      <c r="B179" s="8">
        <v>3</v>
      </c>
      <c r="C179" s="8" t="s">
        <v>160</v>
      </c>
      <c r="D179" s="8">
        <v>1</v>
      </c>
      <c r="E179" s="8">
        <v>1</v>
      </c>
      <c r="F179" s="8" t="s">
        <v>241</v>
      </c>
      <c r="G179" s="8" t="s">
        <v>249</v>
      </c>
      <c r="H179" s="8" t="str">
        <f t="shared" ca="1" si="4"/>
        <v>Town gas distribution: All</v>
      </c>
      <c r="I179" t="s">
        <v>1077</v>
      </c>
      <c r="J179" s="8"/>
      <c r="K179" s="16"/>
    </row>
    <row r="180" spans="1:11" x14ac:dyDescent="0.35">
      <c r="A180" s="8" t="s">
        <v>989</v>
      </c>
      <c r="B180" s="8">
        <v>3</v>
      </c>
      <c r="C180" s="8" t="s">
        <v>160</v>
      </c>
      <c r="D180" s="8">
        <v>1</v>
      </c>
      <c r="E180" s="8">
        <v>1</v>
      </c>
      <c r="F180" s="8" t="s">
        <v>241</v>
      </c>
      <c r="G180" s="8" t="s">
        <v>249</v>
      </c>
      <c r="H180" s="8" t="str">
        <f t="shared" ca="1" si="4"/>
        <v>Natural gas-fuelled vehicles</v>
      </c>
      <c r="I180" t="s">
        <v>1209</v>
      </c>
      <c r="J180" s="8"/>
      <c r="K180" s="16"/>
    </row>
    <row r="181" spans="1:11" x14ac:dyDescent="0.35">
      <c r="A181" s="8" t="s">
        <v>989</v>
      </c>
      <c r="B181" s="8">
        <v>3</v>
      </c>
      <c r="C181" s="8" t="s">
        <v>160</v>
      </c>
      <c r="D181" s="8">
        <v>1</v>
      </c>
      <c r="E181" s="8">
        <v>1</v>
      </c>
      <c r="F181" s="8" t="s">
        <v>241</v>
      </c>
      <c r="G181" s="8" t="s">
        <v>249</v>
      </c>
      <c r="H181" s="8" t="str">
        <f t="shared" ca="1" si="4"/>
        <v>Appliances in commercial and residential sector</v>
      </c>
      <c r="I181" t="s">
        <v>1078</v>
      </c>
      <c r="J181" s="8"/>
      <c r="K181" s="16"/>
    </row>
    <row r="182" spans="1:11" x14ac:dyDescent="0.35">
      <c r="A182" s="8" t="s">
        <v>989</v>
      </c>
      <c r="B182" s="8">
        <v>3</v>
      </c>
      <c r="C182" s="8" t="s">
        <v>160</v>
      </c>
      <c r="D182" s="8">
        <v>1</v>
      </c>
      <c r="E182" s="8">
        <v>1</v>
      </c>
      <c r="F182" s="8" t="s">
        <v>241</v>
      </c>
      <c r="G182" s="8" t="s">
        <v>249</v>
      </c>
      <c r="H182" s="8" t="str">
        <f t="shared" ca="1" si="4"/>
        <v>Leakage at industrial plants and power stations</v>
      </c>
      <c r="I182" t="s">
        <v>1079</v>
      </c>
      <c r="J182" s="8"/>
      <c r="K182" s="16"/>
    </row>
    <row r="183" spans="1:11" x14ac:dyDescent="0.35">
      <c r="A183" s="8" t="s">
        <v>989</v>
      </c>
      <c r="B183" s="8">
        <v>3</v>
      </c>
      <c r="C183" s="8" t="s">
        <v>160</v>
      </c>
      <c r="D183" s="8">
        <v>1</v>
      </c>
      <c r="E183" s="8">
        <v>1</v>
      </c>
      <c r="F183" s="8" t="s">
        <v>241</v>
      </c>
      <c r="G183" s="8" t="s">
        <v>249</v>
      </c>
      <c r="H183" s="8" t="str">
        <f t="shared" ca="1" si="4"/>
        <v>All</v>
      </c>
      <c r="I183" t="s">
        <v>30</v>
      </c>
      <c r="J183" s="8"/>
      <c r="K183" s="16"/>
    </row>
    <row r="184" spans="1:11" x14ac:dyDescent="0.35">
      <c r="A184" s="8" t="s">
        <v>989</v>
      </c>
      <c r="B184" s="8">
        <v>3</v>
      </c>
      <c r="C184" s="8" t="s">
        <v>160</v>
      </c>
      <c r="D184" s="8">
        <v>1</v>
      </c>
      <c r="E184" s="8">
        <v>1</v>
      </c>
      <c r="F184" s="8" t="s">
        <v>241</v>
      </c>
      <c r="G184" s="8" t="s">
        <v>249</v>
      </c>
      <c r="H184" s="8" t="str">
        <f t="shared" ca="1" si="4"/>
        <v>All</v>
      </c>
      <c r="I184" t="s">
        <v>30</v>
      </c>
      <c r="J184" s="8"/>
      <c r="K184" s="16"/>
    </row>
    <row r="185" spans="1:11" x14ac:dyDescent="0.35">
      <c r="A185" s="8" t="s">
        <v>989</v>
      </c>
      <c r="B185" s="8">
        <v>3</v>
      </c>
      <c r="C185" s="8" t="s">
        <v>160</v>
      </c>
      <c r="D185" s="8">
        <v>1</v>
      </c>
      <c r="E185" s="8">
        <v>1</v>
      </c>
      <c r="F185" s="8" t="s">
        <v>241</v>
      </c>
      <c r="G185" s="8" t="s">
        <v>249</v>
      </c>
      <c r="H185" s="8" t="str">
        <f t="shared" ca="1" si="4"/>
        <v>Unconventional onshore oil wells drilled in a year, without flaring or recovery</v>
      </c>
      <c r="I185" s="8" t="s">
        <v>1028</v>
      </c>
      <c r="J185" s="8"/>
      <c r="K185" s="16"/>
    </row>
    <row r="186" spans="1:11" x14ac:dyDescent="0.35">
      <c r="A186" s="8" t="s">
        <v>989</v>
      </c>
      <c r="B186" s="8">
        <v>3</v>
      </c>
      <c r="C186" s="8" t="s">
        <v>160</v>
      </c>
      <c r="D186" s="8">
        <v>1</v>
      </c>
      <c r="E186" s="8">
        <v>1</v>
      </c>
      <c r="F186" s="8" t="s">
        <v>241</v>
      </c>
      <c r="G186" s="8" t="s">
        <v>249</v>
      </c>
      <c r="H186" s="8" t="str">
        <f t="shared" ca="1" si="4"/>
        <v>Total unconventional onshore oil well population where exploration occurs without flaring or recovery</v>
      </c>
      <c r="I186" s="8" t="s">
        <v>1083</v>
      </c>
      <c r="J186" s="8"/>
      <c r="K186" s="16"/>
    </row>
    <row r="187" spans="1:11" x14ac:dyDescent="0.35">
      <c r="A187" s="8" t="s">
        <v>989</v>
      </c>
      <c r="B187" s="8">
        <v>3</v>
      </c>
      <c r="C187" s="8" t="s">
        <v>160</v>
      </c>
      <c r="D187" s="8">
        <v>1</v>
      </c>
      <c r="E187" s="8">
        <v>1</v>
      </c>
      <c r="F187" s="8" t="s">
        <v>241</v>
      </c>
      <c r="G187" s="8" t="s">
        <v>249</v>
      </c>
      <c r="H187" s="8" t="str">
        <f t="shared" ca="1" si="4"/>
        <v>Onshore unconventional onshore oil production where exploration occurs without flaring or recovery</v>
      </c>
      <c r="I187" s="8" t="s">
        <v>1109</v>
      </c>
      <c r="J187" s="8"/>
      <c r="K187" s="16"/>
    </row>
    <row r="188" spans="1:11" x14ac:dyDescent="0.35">
      <c r="A188" s="8" t="s">
        <v>989</v>
      </c>
      <c r="B188" s="8">
        <v>3</v>
      </c>
      <c r="C188" s="8" t="s">
        <v>160</v>
      </c>
      <c r="D188" s="8">
        <v>1</v>
      </c>
      <c r="E188" s="8">
        <v>1</v>
      </c>
      <c r="F188" s="8" t="s">
        <v>241</v>
      </c>
      <c r="G188" s="8" t="s">
        <v>249</v>
      </c>
      <c r="H188" s="8" t="str">
        <f t="shared" ca="1" si="4"/>
        <v>Unconventional onshore oil wells drilled in a year, with flaring or recovery</v>
      </c>
      <c r="I188" s="8" t="s">
        <v>1029</v>
      </c>
      <c r="J188" s="8"/>
      <c r="K188" s="16"/>
    </row>
    <row r="189" spans="1:11" x14ac:dyDescent="0.35">
      <c r="A189" s="8" t="s">
        <v>989</v>
      </c>
      <c r="B189" s="8">
        <v>3</v>
      </c>
      <c r="C189" s="8" t="s">
        <v>160</v>
      </c>
      <c r="D189" s="8">
        <v>1</v>
      </c>
      <c r="E189" s="8">
        <v>1</v>
      </c>
      <c r="F189" s="8" t="s">
        <v>241</v>
      </c>
      <c r="G189" s="8" t="s">
        <v>249</v>
      </c>
      <c r="H189" s="8" t="str">
        <f t="shared" ca="1" si="4"/>
        <v>Total unconventional onshore oil well population where exploration occurs with flaring or recovery</v>
      </c>
      <c r="I189" s="8" t="s">
        <v>1084</v>
      </c>
      <c r="J189" s="8"/>
      <c r="K189" s="16"/>
    </row>
    <row r="190" spans="1:11" x14ac:dyDescent="0.35">
      <c r="A190" s="8" t="s">
        <v>989</v>
      </c>
      <c r="B190" s="8">
        <v>3</v>
      </c>
      <c r="C190" s="8" t="s">
        <v>160</v>
      </c>
      <c r="D190" s="8">
        <v>1</v>
      </c>
      <c r="E190" s="8">
        <v>1</v>
      </c>
      <c r="F190" s="8" t="s">
        <v>241</v>
      </c>
      <c r="G190" s="8" t="s">
        <v>249</v>
      </c>
      <c r="H190" s="8" t="str">
        <f t="shared" ca="1" si="4"/>
        <v>Onshore unconventional oil production where exploration occurs with flaring or recovery</v>
      </c>
      <c r="I190" s="8" t="s">
        <v>1116</v>
      </c>
      <c r="J190" s="8"/>
      <c r="K190" s="16"/>
    </row>
    <row r="191" spans="1:11" x14ac:dyDescent="0.35">
      <c r="A191" s="8" t="s">
        <v>989</v>
      </c>
      <c r="B191" s="8">
        <v>3</v>
      </c>
      <c r="C191" s="8" t="s">
        <v>160</v>
      </c>
      <c r="D191" s="8">
        <v>1</v>
      </c>
      <c r="E191" s="8">
        <v>1</v>
      </c>
      <c r="F191" s="8" t="s">
        <v>241</v>
      </c>
      <c r="G191" s="8" t="s">
        <v>249</v>
      </c>
      <c r="H191" s="8" t="str">
        <f t="shared" ca="1" si="4"/>
        <v>Onshore conventional oil wells drilled in a year</v>
      </c>
      <c r="I191" s="8" t="s">
        <v>1031</v>
      </c>
      <c r="J191" s="8"/>
      <c r="K191" s="16"/>
    </row>
    <row r="192" spans="1:11" x14ac:dyDescent="0.35">
      <c r="A192" s="8" t="s">
        <v>989</v>
      </c>
      <c r="B192" s="8">
        <v>3</v>
      </c>
      <c r="C192" s="8" t="s">
        <v>160</v>
      </c>
      <c r="D192" s="8">
        <v>1</v>
      </c>
      <c r="E192" s="8">
        <v>1</v>
      </c>
      <c r="F192" s="8" t="s">
        <v>241</v>
      </c>
      <c r="G192" s="8" t="s">
        <v>249</v>
      </c>
      <c r="H192" s="8" t="str">
        <f t="shared" ca="1" si="4"/>
        <v>Total conventional onshore oil well population</v>
      </c>
      <c r="I192" s="8" t="s">
        <v>1085</v>
      </c>
      <c r="J192" s="8"/>
      <c r="K192" s="16"/>
    </row>
    <row r="193" spans="1:11" x14ac:dyDescent="0.35">
      <c r="A193" s="8" t="s">
        <v>989</v>
      </c>
      <c r="B193" s="8">
        <v>3</v>
      </c>
      <c r="C193" s="8" t="s">
        <v>160</v>
      </c>
      <c r="D193" s="8">
        <v>1</v>
      </c>
      <c r="E193" s="8">
        <v>1</v>
      </c>
      <c r="F193" s="8" t="s">
        <v>241</v>
      </c>
      <c r="G193" s="8" t="s">
        <v>249</v>
      </c>
      <c r="H193" s="8" t="str">
        <f t="shared" ca="1" si="4"/>
        <v>Onshore conventional oil production</v>
      </c>
      <c r="I193" s="8" t="s">
        <v>1117</v>
      </c>
      <c r="J193" s="8"/>
      <c r="K193" s="16"/>
    </row>
    <row r="194" spans="1:11" x14ac:dyDescent="0.35">
      <c r="A194" s="8" t="s">
        <v>989</v>
      </c>
      <c r="B194" s="8">
        <v>3</v>
      </c>
      <c r="C194" s="8" t="s">
        <v>160</v>
      </c>
      <c r="D194" s="8">
        <v>1</v>
      </c>
      <c r="E194" s="8">
        <v>1</v>
      </c>
      <c r="F194" s="8" t="s">
        <v>241</v>
      </c>
      <c r="G194" s="8" t="s">
        <v>249</v>
      </c>
      <c r="H194" s="8" t="str">
        <f t="shared" ca="1" si="4"/>
        <v>Onshore oil production</v>
      </c>
      <c r="I194" s="8" t="s">
        <v>1118</v>
      </c>
      <c r="J194" s="8"/>
      <c r="K194" s="16"/>
    </row>
    <row r="195" spans="1:11" x14ac:dyDescent="0.35">
      <c r="A195" s="8" t="s">
        <v>989</v>
      </c>
      <c r="B195" s="8">
        <v>3</v>
      </c>
      <c r="C195" s="8" t="s">
        <v>160</v>
      </c>
      <c r="D195" s="8">
        <v>1</v>
      </c>
      <c r="E195" s="8">
        <v>1</v>
      </c>
      <c r="F195" s="8" t="s">
        <v>241</v>
      </c>
      <c r="G195" s="8" t="s">
        <v>249</v>
      </c>
      <c r="H195" s="8" t="str">
        <f t="shared" ca="1" si="4"/>
        <v>Active onshore oil well</v>
      </c>
      <c r="I195" s="8" t="s">
        <v>1086</v>
      </c>
      <c r="J195" s="8"/>
      <c r="K195" s="16"/>
    </row>
    <row r="196" spans="1:11" x14ac:dyDescent="0.35">
      <c r="A196" s="8" t="s">
        <v>989</v>
      </c>
      <c r="B196" s="8">
        <v>3</v>
      </c>
      <c r="C196" s="8" t="s">
        <v>160</v>
      </c>
      <c r="D196" s="8">
        <v>1</v>
      </c>
      <c r="E196" s="8">
        <v>1</v>
      </c>
      <c r="F196" s="8" t="s">
        <v>241</v>
      </c>
      <c r="G196" s="8" t="s">
        <v>249</v>
      </c>
      <c r="H196" s="8" t="str">
        <f t="shared" ca="1" si="4"/>
        <v>Onshore oil production</v>
      </c>
      <c r="I196" s="8" t="s">
        <v>1118</v>
      </c>
      <c r="J196" s="8"/>
      <c r="K196" s="16"/>
    </row>
    <row r="197" spans="1:11" x14ac:dyDescent="0.35">
      <c r="A197" s="8" t="s">
        <v>989</v>
      </c>
      <c r="B197" s="8">
        <v>3</v>
      </c>
      <c r="C197" s="8" t="s">
        <v>160</v>
      </c>
      <c r="D197" s="8">
        <v>1</v>
      </c>
      <c r="E197" s="8">
        <v>1</v>
      </c>
      <c r="F197" s="8" t="s">
        <v>241</v>
      </c>
      <c r="G197" s="8" t="s">
        <v>249</v>
      </c>
      <c r="H197" s="8" t="str">
        <f t="shared" ca="1" si="4"/>
        <v>Active onshore oil well</v>
      </c>
      <c r="I197" s="8" t="s">
        <v>1086</v>
      </c>
      <c r="J197" s="8"/>
      <c r="K197" s="16"/>
    </row>
    <row r="198" spans="1:11" x14ac:dyDescent="0.35">
      <c r="A198" s="8" t="s">
        <v>989</v>
      </c>
      <c r="B198" s="8">
        <v>3</v>
      </c>
      <c r="C198" s="8" t="s">
        <v>160</v>
      </c>
      <c r="D198" s="8">
        <v>1</v>
      </c>
      <c r="E198" s="8">
        <v>1</v>
      </c>
      <c r="F198" s="8" t="s">
        <v>241</v>
      </c>
      <c r="G198" s="8" t="s">
        <v>249</v>
      </c>
      <c r="H198" s="8" t="str">
        <f t="shared" ca="1" si="4"/>
        <v>Onshore oil production</v>
      </c>
      <c r="I198" s="8" t="s">
        <v>1118</v>
      </c>
      <c r="J198" s="8"/>
      <c r="K198" s="16"/>
    </row>
    <row r="199" spans="1:11" x14ac:dyDescent="0.35">
      <c r="A199" s="8" t="s">
        <v>989</v>
      </c>
      <c r="B199" s="8">
        <v>3</v>
      </c>
      <c r="C199" s="8" t="s">
        <v>160</v>
      </c>
      <c r="D199" s="8">
        <v>1</v>
      </c>
      <c r="E199" s="8">
        <v>1</v>
      </c>
      <c r="F199" s="8" t="s">
        <v>241</v>
      </c>
      <c r="G199" s="8" t="s">
        <v>249</v>
      </c>
      <c r="H199" s="8" t="str">
        <f t="shared" ca="1" si="4"/>
        <v>Active onshore oil well</v>
      </c>
      <c r="I199" s="8" t="s">
        <v>1086</v>
      </c>
      <c r="J199" s="8"/>
      <c r="K199" s="16"/>
    </row>
    <row r="200" spans="1:11" x14ac:dyDescent="0.35">
      <c r="A200" s="8" t="s">
        <v>989</v>
      </c>
      <c r="B200" s="8">
        <v>3</v>
      </c>
      <c r="C200" s="8" t="s">
        <v>160</v>
      </c>
      <c r="D200" s="8">
        <v>1</v>
      </c>
      <c r="E200" s="8">
        <v>1</v>
      </c>
      <c r="F200" s="8" t="s">
        <v>241</v>
      </c>
      <c r="G200" s="8" t="s">
        <v>249</v>
      </c>
      <c r="H200" s="8" t="str">
        <f t="shared" ca="1" si="4"/>
        <v>Crude bitumen production from surface mining</v>
      </c>
      <c r="I200" s="8" t="s">
        <v>1119</v>
      </c>
      <c r="J200" s="8"/>
      <c r="K200" s="16"/>
    </row>
    <row r="201" spans="1:11" x14ac:dyDescent="0.35">
      <c r="A201" s="8" t="s">
        <v>989</v>
      </c>
      <c r="B201" s="8">
        <v>3</v>
      </c>
      <c r="C201" s="8" t="s">
        <v>160</v>
      </c>
      <c r="D201" s="8">
        <v>1</v>
      </c>
      <c r="E201" s="8">
        <v>1</v>
      </c>
      <c r="F201" s="8" t="s">
        <v>241</v>
      </c>
      <c r="G201" s="8" t="s">
        <v>249</v>
      </c>
      <c r="H201" s="8" t="str">
        <f t="shared" ca="1" si="4"/>
        <v>Synthetic crude oil production</v>
      </c>
      <c r="I201" s="8" t="s">
        <v>1120</v>
      </c>
      <c r="J201" s="8"/>
      <c r="K201" s="16"/>
    </row>
    <row r="202" spans="1:11" x14ac:dyDescent="0.35">
      <c r="A202" s="8" t="s">
        <v>989</v>
      </c>
      <c r="B202" s="8">
        <v>3</v>
      </c>
      <c r="C202" s="8" t="s">
        <v>160</v>
      </c>
      <c r="D202" s="8">
        <v>1</v>
      </c>
      <c r="E202" s="8">
        <v>1</v>
      </c>
      <c r="F202" s="8" t="s">
        <v>241</v>
      </c>
      <c r="G202" s="8" t="s">
        <v>249</v>
      </c>
      <c r="H202" s="8" t="str">
        <f t="shared" ca="1" si="4"/>
        <v>Offshore oil production</v>
      </c>
      <c r="I202" s="8" t="s">
        <v>1121</v>
      </c>
      <c r="J202" s="8"/>
      <c r="K202" s="16"/>
    </row>
    <row r="203" spans="1:11" x14ac:dyDescent="0.35">
      <c r="A203" s="8" t="s">
        <v>989</v>
      </c>
      <c r="B203" s="8">
        <v>3</v>
      </c>
      <c r="C203" s="8" t="s">
        <v>160</v>
      </c>
      <c r="D203" s="8">
        <v>1</v>
      </c>
      <c r="E203" s="8">
        <v>1</v>
      </c>
      <c r="F203" s="8" t="s">
        <v>241</v>
      </c>
      <c r="G203" s="8" t="s">
        <v>249</v>
      </c>
      <c r="H203" s="8" t="str">
        <f t="shared" ca="1" si="4"/>
        <v>Oil transported by pipeline</v>
      </c>
      <c r="I203" s="8" t="s">
        <v>1122</v>
      </c>
      <c r="J203" s="8"/>
      <c r="K203" s="16"/>
    </row>
    <row r="204" spans="1:11" x14ac:dyDescent="0.35">
      <c r="A204" s="8" t="s">
        <v>989</v>
      </c>
      <c r="B204" s="8">
        <v>3</v>
      </c>
      <c r="C204" s="8" t="s">
        <v>160</v>
      </c>
      <c r="D204" s="8">
        <v>1</v>
      </c>
      <c r="E204" s="8">
        <v>1</v>
      </c>
      <c r="F204" s="8" t="s">
        <v>241</v>
      </c>
      <c r="G204" s="8" t="s">
        <v>249</v>
      </c>
      <c r="H204" s="8" t="str">
        <f t="shared" ca="1" si="4"/>
        <v>Oil transported by Tanker Truck or rail car</v>
      </c>
      <c r="I204" s="8" t="s">
        <v>1123</v>
      </c>
      <c r="J204" s="8"/>
      <c r="K204" s="16"/>
    </row>
    <row r="205" spans="1:11" x14ac:dyDescent="0.35">
      <c r="A205" s="8" t="s">
        <v>989</v>
      </c>
      <c r="B205" s="8">
        <v>3</v>
      </c>
      <c r="C205" s="8" t="s">
        <v>160</v>
      </c>
      <c r="D205" s="8">
        <v>1</v>
      </c>
      <c r="E205" s="8">
        <v>1</v>
      </c>
      <c r="F205" s="8" t="s">
        <v>241</v>
      </c>
      <c r="G205" s="8" t="s">
        <v>249</v>
      </c>
      <c r="H205" s="8" t="str">
        <f t="shared" ca="1" si="4"/>
        <v>Crude oil feed</v>
      </c>
      <c r="I205" s="8" t="s">
        <v>1124</v>
      </c>
      <c r="J205" s="8"/>
      <c r="K205" s="16"/>
    </row>
    <row r="206" spans="1:11" x14ac:dyDescent="0.35">
      <c r="A206" s="8" t="s">
        <v>989</v>
      </c>
      <c r="B206" s="8">
        <v>3</v>
      </c>
      <c r="C206" s="8" t="s">
        <v>160</v>
      </c>
      <c r="D206" s="8">
        <v>1</v>
      </c>
      <c r="E206" s="8">
        <v>1</v>
      </c>
      <c r="F206" s="8" t="s">
        <v>241</v>
      </c>
      <c r="G206" s="8" t="s">
        <v>249</v>
      </c>
      <c r="H206" s="8" t="str">
        <f t="shared" ca="1" si="4"/>
        <v>Oil loaded onto tanker ship</v>
      </c>
      <c r="I206" s="8" t="s">
        <v>1125</v>
      </c>
      <c r="J206" s="8"/>
      <c r="K206" s="16"/>
    </row>
    <row r="207" spans="1:11" x14ac:dyDescent="0.35">
      <c r="A207" s="8" t="s">
        <v>989</v>
      </c>
      <c r="B207" s="8">
        <v>3</v>
      </c>
      <c r="C207" s="8" t="s">
        <v>160</v>
      </c>
      <c r="D207" s="8">
        <v>1</v>
      </c>
      <c r="E207" s="8">
        <v>1</v>
      </c>
      <c r="F207" s="8" t="s">
        <v>241</v>
      </c>
      <c r="G207" s="8" t="s">
        <v>249</v>
      </c>
      <c r="H207" s="8" t="str">
        <f t="shared" ca="1" si="4"/>
        <v>Oil loaded onto tanker ship</v>
      </c>
      <c r="I207" s="8" t="s">
        <v>1125</v>
      </c>
      <c r="J207" s="8"/>
      <c r="K207" s="16"/>
    </row>
    <row r="208" spans="1:11" x14ac:dyDescent="0.35">
      <c r="A208" s="8" t="s">
        <v>989</v>
      </c>
      <c r="B208" s="8">
        <v>3</v>
      </c>
      <c r="C208" s="8" t="s">
        <v>160</v>
      </c>
      <c r="D208" s="8">
        <v>1</v>
      </c>
      <c r="E208" s="8">
        <v>1</v>
      </c>
      <c r="F208" s="8" t="s">
        <v>241</v>
      </c>
      <c r="G208" s="8" t="s">
        <v>249</v>
      </c>
      <c r="H208" s="8" t="str">
        <f t="shared" ca="1" si="4"/>
        <v>Oil loaded onto tanker ship</v>
      </c>
      <c r="I208" s="8" t="s">
        <v>1125</v>
      </c>
      <c r="J208" s="8"/>
      <c r="K208" s="16"/>
    </row>
    <row r="209" spans="1:11" x14ac:dyDescent="0.35">
      <c r="A209" s="8" t="s">
        <v>989</v>
      </c>
      <c r="B209" s="8">
        <v>3</v>
      </c>
      <c r="C209" s="8" t="s">
        <v>160</v>
      </c>
      <c r="D209" s="8">
        <v>1</v>
      </c>
      <c r="E209" s="8">
        <v>1</v>
      </c>
      <c r="F209" s="8" t="s">
        <v>241</v>
      </c>
      <c r="G209" s="8" t="s">
        <v>249</v>
      </c>
      <c r="H209" s="8" t="str">
        <f t="shared" ca="1" si="4"/>
        <v>Oil refined.</v>
      </c>
      <c r="I209" s="8" t="s">
        <v>1155</v>
      </c>
      <c r="J209" s="8"/>
      <c r="K209" s="16"/>
    </row>
    <row r="210" spans="1:11" x14ac:dyDescent="0.35">
      <c r="A210" s="8" t="s">
        <v>989</v>
      </c>
      <c r="B210" s="8">
        <v>3</v>
      </c>
      <c r="C210" s="8" t="s">
        <v>160</v>
      </c>
      <c r="D210" s="8">
        <v>1</v>
      </c>
      <c r="E210" s="8">
        <v>1</v>
      </c>
      <c r="F210" s="8" t="s">
        <v>241</v>
      </c>
      <c r="G210" s="8" t="s">
        <v>249</v>
      </c>
      <c r="H210" s="8" t="str">
        <f t="shared" ca="1" si="4"/>
        <v>Product consumed</v>
      </c>
      <c r="I210" s="8" t="s">
        <v>1126</v>
      </c>
      <c r="J210" s="8"/>
      <c r="K210" s="16"/>
    </row>
    <row r="211" spans="1:11" x14ac:dyDescent="0.35">
      <c r="A211" s="8" t="s">
        <v>989</v>
      </c>
      <c r="B211" s="8">
        <v>3</v>
      </c>
      <c r="C211" s="8" t="s">
        <v>160</v>
      </c>
      <c r="D211" s="8">
        <v>1</v>
      </c>
      <c r="E211" s="8">
        <v>1</v>
      </c>
      <c r="F211" s="8" t="s">
        <v>241</v>
      </c>
      <c r="G211" s="8" t="s">
        <v>249</v>
      </c>
      <c r="H211" s="8" t="str">
        <f t="shared" ca="1" si="4"/>
        <v>Product consumed</v>
      </c>
      <c r="I211" s="8" t="s">
        <v>1126</v>
      </c>
      <c r="J211" s="8"/>
      <c r="K211" s="16"/>
    </row>
    <row r="212" spans="1:11" x14ac:dyDescent="0.35">
      <c r="A212" s="8" t="s">
        <v>989</v>
      </c>
      <c r="B212" s="8">
        <v>3</v>
      </c>
      <c r="C212" s="8" t="s">
        <v>160</v>
      </c>
      <c r="D212" s="8">
        <v>1</v>
      </c>
      <c r="E212" s="8">
        <v>1</v>
      </c>
      <c r="F212" s="8" t="s">
        <v>241</v>
      </c>
      <c r="G212" s="8" t="s">
        <v>249</v>
      </c>
      <c r="H212" s="8" t="str">
        <f t="shared" ca="1" si="4"/>
        <v>Other</v>
      </c>
      <c r="I212" s="8" t="s">
        <v>1003</v>
      </c>
      <c r="J212" s="8"/>
      <c r="K212" s="16"/>
    </row>
    <row r="213" spans="1:11" x14ac:dyDescent="0.35">
      <c r="A213" s="8" t="s">
        <v>989</v>
      </c>
      <c r="B213" s="8">
        <v>3</v>
      </c>
      <c r="C213" s="8" t="s">
        <v>160</v>
      </c>
      <c r="D213" s="8">
        <v>1</v>
      </c>
      <c r="E213" s="8">
        <v>1</v>
      </c>
      <c r="F213" s="8" t="s">
        <v>241</v>
      </c>
      <c r="G213" s="8" t="s">
        <v>249</v>
      </c>
      <c r="H213" s="8" t="str">
        <f t="shared" ca="1" si="4"/>
        <v>Onshore plugged abandoned well</v>
      </c>
      <c r="I213" s="8" t="s">
        <v>1049</v>
      </c>
      <c r="J213" s="8"/>
      <c r="K213" s="16"/>
    </row>
    <row r="214" spans="1:11" x14ac:dyDescent="0.35">
      <c r="A214" s="8" t="s">
        <v>989</v>
      </c>
      <c r="B214" s="8">
        <v>3</v>
      </c>
      <c r="C214" s="8" t="s">
        <v>160</v>
      </c>
      <c r="D214" s="8">
        <v>1</v>
      </c>
      <c r="E214" s="8">
        <v>1</v>
      </c>
      <c r="F214" s="8" t="s">
        <v>241</v>
      </c>
      <c r="G214" s="8" t="s">
        <v>249</v>
      </c>
      <c r="H214" s="8" t="str">
        <f t="shared" ca="1" si="4"/>
        <v>Onshore unplugged abandoned well</v>
      </c>
      <c r="I214" s="8" t="s">
        <v>1050</v>
      </c>
      <c r="J214" s="8"/>
      <c r="K214" s="16"/>
    </row>
    <row r="215" spans="1:11" x14ac:dyDescent="0.35">
      <c r="A215" s="8" t="s">
        <v>989</v>
      </c>
      <c r="B215" s="8">
        <v>3</v>
      </c>
      <c r="C215" s="8" t="s">
        <v>160</v>
      </c>
      <c r="D215" s="8">
        <v>1</v>
      </c>
      <c r="E215" s="8">
        <v>1</v>
      </c>
      <c r="F215" s="8" t="s">
        <v>241</v>
      </c>
      <c r="G215" s="8" t="s">
        <v>249</v>
      </c>
      <c r="H215" s="8" t="str">
        <f t="shared" ca="1" si="4"/>
        <v>Onshore abandoned well</v>
      </c>
      <c r="I215" s="8" t="s">
        <v>1051</v>
      </c>
      <c r="J215" s="8"/>
      <c r="K215" s="16"/>
    </row>
    <row r="216" spans="1:11" x14ac:dyDescent="0.35">
      <c r="A216" s="8" t="s">
        <v>989</v>
      </c>
      <c r="B216" s="8">
        <v>3</v>
      </c>
      <c r="C216" s="8" t="s">
        <v>160</v>
      </c>
      <c r="D216" s="8">
        <v>1</v>
      </c>
      <c r="E216" s="8">
        <v>1</v>
      </c>
      <c r="F216" s="8" t="s">
        <v>241</v>
      </c>
      <c r="G216" s="8" t="s">
        <v>249</v>
      </c>
      <c r="H216" s="8" t="str">
        <f t="shared" ca="1" si="4"/>
        <v>Onshore well</v>
      </c>
      <c r="I216" s="8" t="s">
        <v>1233</v>
      </c>
      <c r="J216" s="8"/>
      <c r="K216" s="16"/>
    </row>
    <row r="217" spans="1:11" x14ac:dyDescent="0.35">
      <c r="A217" s="8" t="s">
        <v>989</v>
      </c>
      <c r="B217" s="8">
        <v>3</v>
      </c>
      <c r="C217" s="8" t="s">
        <v>160</v>
      </c>
      <c r="D217" s="8">
        <v>1</v>
      </c>
      <c r="E217" s="8">
        <v>1</v>
      </c>
      <c r="F217" s="8" t="s">
        <v>241</v>
      </c>
      <c r="G217" s="8" t="s">
        <v>249</v>
      </c>
      <c r="H217" s="8" t="str">
        <f t="shared" ca="1" si="4"/>
        <v>Offshore plugged abandoned well</v>
      </c>
      <c r="I217" s="8" t="s">
        <v>1052</v>
      </c>
      <c r="J217" s="8"/>
      <c r="K217" s="16"/>
    </row>
    <row r="218" spans="1:11" x14ac:dyDescent="0.35">
      <c r="A218" s="8" t="s">
        <v>989</v>
      </c>
      <c r="B218" s="8">
        <v>3</v>
      </c>
      <c r="C218" s="8" t="s">
        <v>160</v>
      </c>
      <c r="D218" s="8">
        <v>1</v>
      </c>
      <c r="E218" s="8">
        <v>1</v>
      </c>
      <c r="F218" s="8" t="s">
        <v>241</v>
      </c>
      <c r="G218" s="8" t="s">
        <v>249</v>
      </c>
      <c r="H218" s="8" t="str">
        <f t="shared" ca="1" si="4"/>
        <v>Offshore unplugged abandoned well</v>
      </c>
      <c r="I218" s="8" t="s">
        <v>1053</v>
      </c>
      <c r="J218" s="8"/>
      <c r="K218" s="16"/>
    </row>
    <row r="219" spans="1:11" x14ac:dyDescent="0.35">
      <c r="A219" s="8" t="s">
        <v>989</v>
      </c>
      <c r="B219" s="8">
        <v>3</v>
      </c>
      <c r="C219" s="8" t="s">
        <v>160</v>
      </c>
      <c r="D219" s="8">
        <v>1</v>
      </c>
      <c r="E219" s="8">
        <v>1</v>
      </c>
      <c r="F219" s="8" t="s">
        <v>241</v>
      </c>
      <c r="G219" s="8" t="s">
        <v>249</v>
      </c>
      <c r="H219" s="8" t="str">
        <f t="shared" ca="1" si="4"/>
        <v>Offshore abandoned well</v>
      </c>
      <c r="I219" s="8" t="s">
        <v>1054</v>
      </c>
      <c r="J219" s="8"/>
      <c r="K219" s="16"/>
    </row>
    <row r="220" spans="1:11" x14ac:dyDescent="0.35">
      <c r="A220" s="8" t="s">
        <v>989</v>
      </c>
      <c r="B220" s="8">
        <v>3</v>
      </c>
      <c r="C220" s="8" t="s">
        <v>160</v>
      </c>
      <c r="D220" s="8">
        <v>1</v>
      </c>
      <c r="E220" s="8">
        <v>1</v>
      </c>
      <c r="F220" s="8" t="s">
        <v>241</v>
      </c>
      <c r="G220" s="8" t="s">
        <v>249</v>
      </c>
      <c r="H220" s="8" t="str">
        <f t="shared" ca="1" si="4"/>
        <v>Unconventional onshore gas wells drilled in a year, without flaring or recovery</v>
      </c>
      <c r="I220" s="8" t="s">
        <v>1057</v>
      </c>
      <c r="J220" s="8"/>
      <c r="K220" s="16"/>
    </row>
    <row r="221" spans="1:11" x14ac:dyDescent="0.35">
      <c r="A221" s="8" t="s">
        <v>989</v>
      </c>
      <c r="B221" s="8">
        <v>3</v>
      </c>
      <c r="C221" s="8" t="s">
        <v>160</v>
      </c>
      <c r="D221" s="8">
        <v>1</v>
      </c>
      <c r="E221" s="8">
        <v>1</v>
      </c>
      <c r="F221" s="8" t="s">
        <v>241</v>
      </c>
      <c r="G221" s="8" t="s">
        <v>249</v>
      </c>
      <c r="H221" s="8" t="str">
        <f t="shared" ca="1" si="4"/>
        <v>Total unconventional onshore gas well population where exploration occurs without flaring or recovery</v>
      </c>
      <c r="I221" s="8" t="s">
        <v>1087</v>
      </c>
      <c r="J221" s="8"/>
      <c r="K221" s="16"/>
    </row>
    <row r="222" spans="1:11" x14ac:dyDescent="0.35">
      <c r="A222" s="8" t="s">
        <v>989</v>
      </c>
      <c r="B222" s="8">
        <v>3</v>
      </c>
      <c r="C222" s="8" t="s">
        <v>160</v>
      </c>
      <c r="D222" s="8">
        <v>1</v>
      </c>
      <c r="E222" s="8">
        <v>1</v>
      </c>
      <c r="F222" s="8" t="s">
        <v>241</v>
      </c>
      <c r="G222" s="8" t="s">
        <v>249</v>
      </c>
      <c r="H222" s="8" t="str">
        <f t="shared" ca="1" si="4"/>
        <v>Onshore unconventional onshore gas production where exploration occurs without flaring or recovery</v>
      </c>
      <c r="I222" s="8" t="s">
        <v>1156</v>
      </c>
      <c r="J222" s="8"/>
      <c r="K222" s="16"/>
    </row>
    <row r="223" spans="1:11" x14ac:dyDescent="0.35">
      <c r="A223" s="8" t="s">
        <v>989</v>
      </c>
      <c r="B223" s="8">
        <v>3</v>
      </c>
      <c r="C223" s="8" t="s">
        <v>160</v>
      </c>
      <c r="D223" s="8">
        <v>1</v>
      </c>
      <c r="E223" s="8">
        <v>1</v>
      </c>
      <c r="F223" s="8" t="s">
        <v>241</v>
      </c>
      <c r="G223" s="8" t="s">
        <v>249</v>
      </c>
      <c r="H223" s="8" t="str">
        <f t="shared" ca="1" si="4"/>
        <v>Unconventional onshore gas wells drilled in a year, with flaring or recovery</v>
      </c>
      <c r="I223" s="8" t="s">
        <v>1058</v>
      </c>
      <c r="J223" s="8"/>
      <c r="K223" s="16"/>
    </row>
    <row r="224" spans="1:11" x14ac:dyDescent="0.35">
      <c r="A224" s="8" t="s">
        <v>989</v>
      </c>
      <c r="B224" s="8">
        <v>3</v>
      </c>
      <c r="C224" s="8" t="s">
        <v>160</v>
      </c>
      <c r="D224" s="8">
        <v>1</v>
      </c>
      <c r="E224" s="8">
        <v>1</v>
      </c>
      <c r="F224" s="8" t="s">
        <v>241</v>
      </c>
      <c r="G224" s="8" t="s">
        <v>249</v>
      </c>
      <c r="H224" s="8" t="str">
        <f t="shared" ca="1" si="4"/>
        <v>Total unconventional onshore gas well population where exploration occurs with flaring or recovery</v>
      </c>
      <c r="I224" s="8" t="s">
        <v>1088</v>
      </c>
      <c r="J224" s="8"/>
      <c r="K224" s="16"/>
    </row>
    <row r="225" spans="1:11" x14ac:dyDescent="0.35">
      <c r="A225" s="8" t="s">
        <v>989</v>
      </c>
      <c r="B225" s="8">
        <v>3</v>
      </c>
      <c r="C225" s="8" t="s">
        <v>160</v>
      </c>
      <c r="D225" s="8">
        <v>1</v>
      </c>
      <c r="E225" s="8">
        <v>1</v>
      </c>
      <c r="F225" s="8" t="s">
        <v>241</v>
      </c>
      <c r="G225" s="8" t="s">
        <v>249</v>
      </c>
      <c r="H225" s="8" t="str">
        <f t="shared" ca="1" si="4"/>
        <v>Onshore unconventional gas production where exploration occurs with flaring or recovery</v>
      </c>
      <c r="I225" s="8" t="s">
        <v>1127</v>
      </c>
      <c r="J225" s="8"/>
      <c r="K225" s="16"/>
    </row>
    <row r="226" spans="1:11" x14ac:dyDescent="0.35">
      <c r="A226" s="8" t="s">
        <v>989</v>
      </c>
      <c r="B226" s="8">
        <v>3</v>
      </c>
      <c r="C226" s="8" t="s">
        <v>160</v>
      </c>
      <c r="D226" s="8">
        <v>1</v>
      </c>
      <c r="E226" s="8">
        <v>1</v>
      </c>
      <c r="F226" s="8" t="s">
        <v>241</v>
      </c>
      <c r="G226" s="8" t="s">
        <v>249</v>
      </c>
      <c r="H226" s="8" t="str">
        <f t="shared" ca="1" si="4"/>
        <v>Onshore conventional gas wells drilled in a year</v>
      </c>
      <c r="I226" s="8" t="s">
        <v>1060</v>
      </c>
      <c r="J226" s="8"/>
      <c r="K226" s="16"/>
    </row>
    <row r="227" spans="1:11" x14ac:dyDescent="0.35">
      <c r="A227" s="8" t="s">
        <v>989</v>
      </c>
      <c r="B227" s="8">
        <v>3</v>
      </c>
      <c r="C227" s="8" t="s">
        <v>160</v>
      </c>
      <c r="D227" s="8">
        <v>1</v>
      </c>
      <c r="E227" s="8">
        <v>1</v>
      </c>
      <c r="F227" s="8" t="s">
        <v>241</v>
      </c>
      <c r="G227" s="8" t="s">
        <v>249</v>
      </c>
      <c r="H227" s="8" t="str">
        <f t="shared" ca="1" si="4"/>
        <v>Total conventional onshore gas well population</v>
      </c>
      <c r="I227" s="8" t="s">
        <v>1089</v>
      </c>
      <c r="J227" s="8"/>
      <c r="K227" s="16"/>
    </row>
    <row r="228" spans="1:11" x14ac:dyDescent="0.35">
      <c r="A228" s="8" t="s">
        <v>989</v>
      </c>
      <c r="B228" s="8">
        <v>3</v>
      </c>
      <c r="C228" s="8" t="s">
        <v>160</v>
      </c>
      <c r="D228" s="8">
        <v>1</v>
      </c>
      <c r="E228" s="8">
        <v>1</v>
      </c>
      <c r="F228" s="8" t="s">
        <v>241</v>
      </c>
      <c r="G228" s="8" t="s">
        <v>249</v>
      </c>
      <c r="H228" s="8" t="str">
        <f t="shared" ca="1" si="4"/>
        <v>Onshore conventional gas production</v>
      </c>
      <c r="I228" s="8" t="s">
        <v>1128</v>
      </c>
      <c r="J228" s="8"/>
      <c r="K228" s="16"/>
    </row>
    <row r="229" spans="1:11" x14ac:dyDescent="0.35">
      <c r="A229" s="8" t="s">
        <v>989</v>
      </c>
      <c r="B229" s="8">
        <v>3</v>
      </c>
      <c r="C229" s="8" t="s">
        <v>160</v>
      </c>
      <c r="D229" s="8">
        <v>1</v>
      </c>
      <c r="E229" s="8">
        <v>1</v>
      </c>
      <c r="F229" s="8" t="s">
        <v>241</v>
      </c>
      <c r="G229" s="8" t="s">
        <v>249</v>
      </c>
      <c r="H229" s="8" t="str">
        <f t="shared" ca="1" si="4"/>
        <v>Onshore gas production</v>
      </c>
      <c r="I229" s="8" t="s">
        <v>1129</v>
      </c>
      <c r="J229" s="8"/>
      <c r="K229" s="16"/>
    </row>
    <row r="230" spans="1:11" x14ac:dyDescent="0.35">
      <c r="A230" s="8" t="s">
        <v>989</v>
      </c>
      <c r="B230" s="8">
        <v>3</v>
      </c>
      <c r="C230" s="8" t="s">
        <v>160</v>
      </c>
      <c r="D230" s="8">
        <v>1</v>
      </c>
      <c r="E230" s="8">
        <v>1</v>
      </c>
      <c r="F230" s="8" t="s">
        <v>241</v>
      </c>
      <c r="G230" s="8" t="s">
        <v>249</v>
      </c>
      <c r="H230" s="8" t="str">
        <f t="shared" ca="1" si="4"/>
        <v>Active gas well</v>
      </c>
      <c r="I230" s="8" t="s">
        <v>1064</v>
      </c>
      <c r="J230" s="8"/>
      <c r="K230" s="16"/>
    </row>
    <row r="231" spans="1:11" x14ac:dyDescent="0.35">
      <c r="A231" s="8" t="s">
        <v>989</v>
      </c>
      <c r="B231" s="8">
        <v>3</v>
      </c>
      <c r="C231" s="8" t="s">
        <v>160</v>
      </c>
      <c r="D231" s="8">
        <v>1</v>
      </c>
      <c r="E231" s="8">
        <v>1</v>
      </c>
      <c r="F231" s="8" t="s">
        <v>241</v>
      </c>
      <c r="G231" s="8" t="s">
        <v>249</v>
      </c>
      <c r="H231" s="8" t="str">
        <f t="shared" ca="1" si="4"/>
        <v>Onshore gas production</v>
      </c>
      <c r="I231" s="8" t="s">
        <v>1129</v>
      </c>
      <c r="J231" s="8"/>
      <c r="K231" s="16"/>
    </row>
    <row r="232" spans="1:11" x14ac:dyDescent="0.35">
      <c r="A232" s="8" t="s">
        <v>989</v>
      </c>
      <c r="B232" s="8">
        <v>3</v>
      </c>
      <c r="C232" s="8" t="s">
        <v>160</v>
      </c>
      <c r="D232" s="8">
        <v>1</v>
      </c>
      <c r="E232" s="8">
        <v>1</v>
      </c>
      <c r="F232" s="8" t="s">
        <v>241</v>
      </c>
      <c r="G232" s="8" t="s">
        <v>249</v>
      </c>
      <c r="H232" s="8" t="str">
        <f t="shared" ca="1" si="4"/>
        <v>Active gas well</v>
      </c>
      <c r="I232" s="8" t="s">
        <v>1064</v>
      </c>
      <c r="J232" s="8"/>
      <c r="K232" s="16"/>
    </row>
    <row r="233" spans="1:11" x14ac:dyDescent="0.35">
      <c r="A233" s="8" t="s">
        <v>989</v>
      </c>
      <c r="B233" s="8">
        <v>3</v>
      </c>
      <c r="C233" s="8" t="s">
        <v>160</v>
      </c>
      <c r="D233" s="8">
        <v>1</v>
      </c>
      <c r="E233" s="8">
        <v>1</v>
      </c>
      <c r="F233" s="8" t="s">
        <v>241</v>
      </c>
      <c r="G233" s="8" t="s">
        <v>249</v>
      </c>
      <c r="H233" s="8" t="str">
        <f t="shared" ca="1" si="4"/>
        <v>Onshore gas production</v>
      </c>
      <c r="I233" s="8" t="s">
        <v>1129</v>
      </c>
      <c r="J233" s="8"/>
      <c r="K233" s="16"/>
    </row>
    <row r="234" spans="1:11" x14ac:dyDescent="0.35">
      <c r="A234" s="8" t="s">
        <v>989</v>
      </c>
      <c r="B234" s="8">
        <v>3</v>
      </c>
      <c r="C234" s="8" t="s">
        <v>160</v>
      </c>
      <c r="D234" s="8">
        <v>1</v>
      </c>
      <c r="E234" s="8">
        <v>1</v>
      </c>
      <c r="F234" s="8" t="s">
        <v>241</v>
      </c>
      <c r="G234" s="8" t="s">
        <v>249</v>
      </c>
      <c r="H234" s="8" t="str">
        <f t="shared" ca="1" si="4"/>
        <v>Active gas well</v>
      </c>
      <c r="I234" s="8" t="s">
        <v>1064</v>
      </c>
      <c r="J234" s="8"/>
      <c r="K234" s="16"/>
    </row>
    <row r="235" spans="1:11" x14ac:dyDescent="0.35">
      <c r="A235" s="8" t="s">
        <v>989</v>
      </c>
      <c r="B235" s="8">
        <v>3</v>
      </c>
      <c r="C235" s="8" t="s">
        <v>160</v>
      </c>
      <c r="D235" s="8">
        <v>1</v>
      </c>
      <c r="E235" s="8">
        <v>1</v>
      </c>
      <c r="F235" s="8" t="s">
        <v>241</v>
      </c>
      <c r="G235" s="8" t="s">
        <v>249</v>
      </c>
      <c r="H235" s="8" t="str">
        <f t="shared" ca="1" si="4"/>
        <v>Onshore gas production</v>
      </c>
      <c r="I235" s="8" t="s">
        <v>1129</v>
      </c>
      <c r="J235" s="8"/>
      <c r="K235" s="16"/>
    </row>
    <row r="236" spans="1:11" x14ac:dyDescent="0.35">
      <c r="A236" s="8" t="s">
        <v>989</v>
      </c>
      <c r="B236" s="8">
        <v>3</v>
      </c>
      <c r="C236" s="8" t="s">
        <v>160</v>
      </c>
      <c r="D236" s="8">
        <v>1</v>
      </c>
      <c r="E236" s="8">
        <v>1</v>
      </c>
      <c r="F236" s="8" t="s">
        <v>241</v>
      </c>
      <c r="G236" s="8" t="s">
        <v>249</v>
      </c>
      <c r="H236" s="8" t="str">
        <f t="shared" ca="1" si="4"/>
        <v>Onshore gas production</v>
      </c>
      <c r="I236" s="8" t="s">
        <v>1129</v>
      </c>
      <c r="J236" s="8"/>
      <c r="K236" s="16"/>
    </row>
    <row r="237" spans="1:11" x14ac:dyDescent="0.35">
      <c r="A237" s="8" t="s">
        <v>989</v>
      </c>
      <c r="B237" s="8">
        <v>3</v>
      </c>
      <c r="C237" s="8" t="s">
        <v>160</v>
      </c>
      <c r="D237" s="8">
        <v>1</v>
      </c>
      <c r="E237" s="8">
        <v>1</v>
      </c>
      <c r="F237" s="8" t="s">
        <v>241</v>
      </c>
      <c r="G237" s="8" t="s">
        <v>249</v>
      </c>
      <c r="H237" s="8" t="str">
        <f t="shared" ca="1" si="4"/>
        <v>Offshore gas production</v>
      </c>
      <c r="I237" s="8" t="s">
        <v>1130</v>
      </c>
      <c r="J237" s="8"/>
      <c r="K237" s="16"/>
    </row>
    <row r="238" spans="1:11" x14ac:dyDescent="0.35">
      <c r="A238" s="8" t="s">
        <v>989</v>
      </c>
      <c r="B238" s="8">
        <v>3</v>
      </c>
      <c r="C238" s="8" t="s">
        <v>160</v>
      </c>
      <c r="D238" s="8">
        <v>1</v>
      </c>
      <c r="E238" s="8">
        <v>1</v>
      </c>
      <c r="F238" s="8" t="s">
        <v>241</v>
      </c>
      <c r="G238" s="8" t="s">
        <v>249</v>
      </c>
      <c r="H238" s="8" t="str">
        <f t="shared" ca="1" si="4"/>
        <v>Gas processed</v>
      </c>
      <c r="I238" s="8" t="s">
        <v>1131</v>
      </c>
      <c r="J238" s="8"/>
      <c r="K238" s="16"/>
    </row>
    <row r="239" spans="1:11" x14ac:dyDescent="0.35">
      <c r="A239" s="8" t="s">
        <v>989</v>
      </c>
      <c r="B239" s="8">
        <v>3</v>
      </c>
      <c r="C239" s="8" t="s">
        <v>160</v>
      </c>
      <c r="D239" s="8">
        <v>1</v>
      </c>
      <c r="E239" s="8">
        <v>1</v>
      </c>
      <c r="F239" s="8" t="s">
        <v>241</v>
      </c>
      <c r="G239" s="8" t="s">
        <v>249</v>
      </c>
      <c r="H239" s="8" t="str">
        <f t="shared" ca="1" si="4"/>
        <v>Gas produced</v>
      </c>
      <c r="I239" s="8" t="s">
        <v>1132</v>
      </c>
      <c r="J239" s="8"/>
      <c r="K239" s="16"/>
    </row>
    <row r="240" spans="1:11" x14ac:dyDescent="0.35">
      <c r="A240" s="8" t="s">
        <v>989</v>
      </c>
      <c r="B240" s="8">
        <v>3</v>
      </c>
      <c r="C240" s="8" t="s">
        <v>160</v>
      </c>
      <c r="D240" s="8">
        <v>1</v>
      </c>
      <c r="E240" s="8">
        <v>1</v>
      </c>
      <c r="F240" s="8" t="s">
        <v>241</v>
      </c>
      <c r="G240" s="8" t="s">
        <v>249</v>
      </c>
      <c r="H240" s="8" t="str">
        <f t="shared" ca="1" si="4"/>
        <v>Gas processed</v>
      </c>
      <c r="I240" s="8" t="s">
        <v>1131</v>
      </c>
      <c r="J240" s="8"/>
      <c r="K240" s="16"/>
    </row>
    <row r="241" spans="1:11" x14ac:dyDescent="0.35">
      <c r="A241" s="8" t="s">
        <v>989</v>
      </c>
      <c r="B241" s="8">
        <v>3</v>
      </c>
      <c r="C241" s="8" t="s">
        <v>160</v>
      </c>
      <c r="D241" s="8">
        <v>1</v>
      </c>
      <c r="E241" s="8">
        <v>1</v>
      </c>
      <c r="F241" s="8" t="s">
        <v>241</v>
      </c>
      <c r="G241" s="8" t="s">
        <v>249</v>
      </c>
      <c r="H241" s="8" t="str">
        <f t="shared" ca="1" si="4"/>
        <v>Gas produced</v>
      </c>
      <c r="I241" s="8" t="s">
        <v>1132</v>
      </c>
      <c r="J241" s="8"/>
      <c r="K241" s="16"/>
    </row>
    <row r="242" spans="1:11" x14ac:dyDescent="0.35">
      <c r="A242" s="8" t="s">
        <v>989</v>
      </c>
      <c r="B242" s="8">
        <v>3</v>
      </c>
      <c r="C242" s="8" t="s">
        <v>160</v>
      </c>
      <c r="D242" s="8">
        <v>1</v>
      </c>
      <c r="E242" s="8">
        <v>1</v>
      </c>
      <c r="F242" s="8" t="s">
        <v>241</v>
      </c>
      <c r="G242" s="8" t="s">
        <v>249</v>
      </c>
      <c r="H242" s="8" t="str">
        <f t="shared" ca="1" si="4"/>
        <v>Gas processed</v>
      </c>
      <c r="I242" s="8" t="s">
        <v>1131</v>
      </c>
      <c r="J242" s="8"/>
      <c r="K242" s="16"/>
    </row>
    <row r="243" spans="1:11" x14ac:dyDescent="0.35">
      <c r="A243" s="8" t="s">
        <v>989</v>
      </c>
      <c r="B243" s="8">
        <v>3</v>
      </c>
      <c r="C243" s="8" t="s">
        <v>160</v>
      </c>
      <c r="D243" s="8">
        <v>1</v>
      </c>
      <c r="E243" s="8">
        <v>1</v>
      </c>
      <c r="F243" s="8" t="s">
        <v>241</v>
      </c>
      <c r="G243" s="8" t="s">
        <v>249</v>
      </c>
      <c r="H243" s="8" t="str">
        <f t="shared" ca="1" si="4"/>
        <v>Gas produced</v>
      </c>
      <c r="I243" s="8" t="s">
        <v>1132</v>
      </c>
      <c r="J243" s="8"/>
      <c r="K243" s="16"/>
    </row>
    <row r="244" spans="1:11" x14ac:dyDescent="0.35">
      <c r="A244" s="8" t="s">
        <v>989</v>
      </c>
      <c r="B244" s="8">
        <v>3</v>
      </c>
      <c r="C244" s="8" t="s">
        <v>160</v>
      </c>
      <c r="D244" s="8">
        <v>1</v>
      </c>
      <c r="E244" s="8">
        <v>1</v>
      </c>
      <c r="F244" s="8" t="s">
        <v>241</v>
      </c>
      <c r="G244" s="8" t="s">
        <v>249</v>
      </c>
      <c r="H244" s="8" t="str">
        <f t="shared" ca="1" si="4"/>
        <v>Sour gas processed</v>
      </c>
      <c r="I244" s="8" t="s">
        <v>1133</v>
      </c>
      <c r="J244" s="8"/>
      <c r="K244" s="16"/>
    </row>
    <row r="245" spans="1:11" x14ac:dyDescent="0.35">
      <c r="A245" s="8" t="s">
        <v>989</v>
      </c>
      <c r="B245" s="8">
        <v>3</v>
      </c>
      <c r="C245" s="8" t="s">
        <v>160</v>
      </c>
      <c r="D245" s="8">
        <v>1</v>
      </c>
      <c r="E245" s="8">
        <v>1</v>
      </c>
      <c r="F245" s="8" t="s">
        <v>241</v>
      </c>
      <c r="G245" s="8" t="s">
        <v>249</v>
      </c>
      <c r="H245" s="8" t="str">
        <f t="shared" ca="1" si="4"/>
        <v>Gas consumption</v>
      </c>
      <c r="I245" s="8" t="s">
        <v>1134</v>
      </c>
      <c r="J245" s="8"/>
      <c r="K245" s="16"/>
    </row>
    <row r="246" spans="1:11" x14ac:dyDescent="0.35">
      <c r="A246" s="8" t="s">
        <v>989</v>
      </c>
      <c r="B246" s="8">
        <v>3</v>
      </c>
      <c r="C246" s="8" t="s">
        <v>160</v>
      </c>
      <c r="D246" s="8">
        <v>1</v>
      </c>
      <c r="E246" s="8">
        <v>1</v>
      </c>
      <c r="F246" s="8" t="s">
        <v>241</v>
      </c>
      <c r="G246" s="8" t="s">
        <v>249</v>
      </c>
      <c r="H246" s="8" t="str">
        <f t="shared" ca="1" si="4"/>
        <v>Kilometre pipeline</v>
      </c>
      <c r="I246" s="8" t="s">
        <v>1090</v>
      </c>
      <c r="J246" s="8"/>
      <c r="K246" s="16"/>
    </row>
    <row r="247" spans="1:11" x14ac:dyDescent="0.35">
      <c r="A247" s="8" t="s">
        <v>989</v>
      </c>
      <c r="B247" s="8">
        <v>3</v>
      </c>
      <c r="C247" s="8" t="s">
        <v>160</v>
      </c>
      <c r="D247" s="8">
        <v>1</v>
      </c>
      <c r="E247" s="8">
        <v>1</v>
      </c>
      <c r="F247" s="8" t="s">
        <v>241</v>
      </c>
      <c r="G247" s="8" t="s">
        <v>249</v>
      </c>
      <c r="H247" s="8" t="str">
        <f t="shared" ca="1" si="4"/>
        <v>Gas consumption</v>
      </c>
      <c r="I247" s="8" t="s">
        <v>1134</v>
      </c>
      <c r="J247" s="8"/>
      <c r="K247" s="16"/>
    </row>
    <row r="248" spans="1:11" x14ac:dyDescent="0.35">
      <c r="A248" s="8" t="s">
        <v>989</v>
      </c>
      <c r="B248" s="8">
        <v>3</v>
      </c>
      <c r="C248" s="8" t="s">
        <v>160</v>
      </c>
      <c r="D248" s="8">
        <v>1</v>
      </c>
      <c r="E248" s="8">
        <v>1</v>
      </c>
      <c r="F248" s="8" t="s">
        <v>241</v>
      </c>
      <c r="G248" s="8" t="s">
        <v>249</v>
      </c>
      <c r="H248" s="8" t="str">
        <f t="shared" ca="1" si="4"/>
        <v>Kilometre pipeline</v>
      </c>
      <c r="I248" s="8" t="s">
        <v>1090</v>
      </c>
      <c r="J248" s="8"/>
      <c r="K248" s="16"/>
    </row>
    <row r="249" spans="1:11" x14ac:dyDescent="0.35">
      <c r="A249" s="8" t="s">
        <v>989</v>
      </c>
      <c r="B249" s="8">
        <v>3</v>
      </c>
      <c r="C249" s="8" t="s">
        <v>160</v>
      </c>
      <c r="D249" s="8">
        <v>1</v>
      </c>
      <c r="E249" s="8">
        <v>1</v>
      </c>
      <c r="F249" s="8" t="s">
        <v>241</v>
      </c>
      <c r="G249" s="8" t="s">
        <v>249</v>
      </c>
      <c r="H249" s="8" t="str">
        <f t="shared" ca="1" si="4"/>
        <v>Gas consumption</v>
      </c>
      <c r="I249" s="8" t="s">
        <v>1134</v>
      </c>
      <c r="J249" s="8"/>
      <c r="K249" s="16"/>
    </row>
    <row r="250" spans="1:11" x14ac:dyDescent="0.35">
      <c r="A250" s="8" t="s">
        <v>989</v>
      </c>
      <c r="B250" s="8">
        <v>3</v>
      </c>
      <c r="C250" s="8" t="s">
        <v>160</v>
      </c>
      <c r="D250" s="8">
        <v>1</v>
      </c>
      <c r="E250" s="8">
        <v>1</v>
      </c>
      <c r="F250" s="8" t="s">
        <v>241</v>
      </c>
      <c r="G250" s="8" t="s">
        <v>249</v>
      </c>
      <c r="H250" s="8" t="str">
        <f t="shared" ca="1" si="4"/>
        <v>Kilometre pipeline</v>
      </c>
      <c r="I250" s="8" t="s">
        <v>1090</v>
      </c>
      <c r="J250" s="8"/>
      <c r="K250" s="16"/>
    </row>
    <row r="251" spans="1:11" x14ac:dyDescent="0.35">
      <c r="A251" s="8" t="s">
        <v>989</v>
      </c>
      <c r="B251" s="8">
        <v>3</v>
      </c>
      <c r="C251" s="8" t="s">
        <v>160</v>
      </c>
      <c r="D251" s="8">
        <v>1</v>
      </c>
      <c r="E251" s="8">
        <v>1</v>
      </c>
      <c r="F251" s="8" t="s">
        <v>241</v>
      </c>
      <c r="G251" s="8" t="s">
        <v>249</v>
      </c>
      <c r="H251" s="8" t="str">
        <f t="shared" ca="1" si="4"/>
        <v>Gas consumption</v>
      </c>
      <c r="I251" s="8" t="s">
        <v>1134</v>
      </c>
      <c r="J251" s="8"/>
      <c r="K251" s="16"/>
    </row>
    <row r="252" spans="1:11" x14ac:dyDescent="0.35">
      <c r="A252" s="8" t="s">
        <v>989</v>
      </c>
      <c r="B252" s="8">
        <v>3</v>
      </c>
      <c r="C252" s="8" t="s">
        <v>160</v>
      </c>
      <c r="D252" s="8">
        <v>1</v>
      </c>
      <c r="E252" s="8">
        <v>1</v>
      </c>
      <c r="F252" s="8" t="s">
        <v>241</v>
      </c>
      <c r="G252" s="8" t="s">
        <v>249</v>
      </c>
      <c r="H252" s="8" t="str">
        <f t="shared" ca="1" si="4"/>
        <v>Gas consumption</v>
      </c>
      <c r="I252" s="8" t="s">
        <v>1134</v>
      </c>
      <c r="J252" s="8"/>
      <c r="K252" s="16"/>
    </row>
    <row r="253" spans="1:11" x14ac:dyDescent="0.35">
      <c r="A253" s="8" t="s">
        <v>989</v>
      </c>
      <c r="B253" s="8">
        <v>3</v>
      </c>
      <c r="C253" s="8" t="s">
        <v>160</v>
      </c>
      <c r="D253" s="8">
        <v>1</v>
      </c>
      <c r="E253" s="8">
        <v>1</v>
      </c>
      <c r="F253" s="8" t="s">
        <v>241</v>
      </c>
      <c r="G253" s="8" t="s">
        <v>249</v>
      </c>
      <c r="H253" s="8" t="str">
        <f t="shared" ca="1" si="4"/>
        <v>Station</v>
      </c>
      <c r="I253" s="8" t="s">
        <v>1074</v>
      </c>
      <c r="J253" s="8"/>
      <c r="K253" s="16"/>
    </row>
    <row r="254" spans="1:11" x14ac:dyDescent="0.35">
      <c r="A254" s="8" t="s">
        <v>989</v>
      </c>
      <c r="B254" s="8">
        <v>3</v>
      </c>
      <c r="C254" s="8" t="s">
        <v>160</v>
      </c>
      <c r="D254" s="8">
        <v>1</v>
      </c>
      <c r="E254" s="8">
        <v>1</v>
      </c>
      <c r="F254" s="8" t="s">
        <v>241</v>
      </c>
      <c r="G254" s="8" t="s">
        <v>249</v>
      </c>
      <c r="H254" s="8" t="str">
        <f t="shared" ca="1" si="4"/>
        <v>Station</v>
      </c>
      <c r="I254" s="8" t="s">
        <v>1074</v>
      </c>
      <c r="J254" s="8"/>
      <c r="K254" s="16"/>
    </row>
    <row r="255" spans="1:11" x14ac:dyDescent="0.35">
      <c r="A255" s="8" t="s">
        <v>989</v>
      </c>
      <c r="B255" s="8">
        <v>3</v>
      </c>
      <c r="C255" s="8" t="s">
        <v>160</v>
      </c>
      <c r="D255" s="8">
        <v>1</v>
      </c>
      <c r="E255" s="8">
        <v>1</v>
      </c>
      <c r="F255" s="8" t="s">
        <v>241</v>
      </c>
      <c r="G255" s="8" t="s">
        <v>249</v>
      </c>
      <c r="H255" s="8" t="str">
        <f t="shared" ca="1" si="4"/>
        <v>Gas consumption</v>
      </c>
      <c r="I255" s="8" t="s">
        <v>1134</v>
      </c>
      <c r="J255" s="8"/>
      <c r="K255" s="16"/>
    </row>
    <row r="256" spans="1:11" x14ac:dyDescent="0.35">
      <c r="A256" s="8" t="s">
        <v>989</v>
      </c>
      <c r="B256" s="8">
        <v>3</v>
      </c>
      <c r="C256" s="8" t="s">
        <v>160</v>
      </c>
      <c r="D256" s="8">
        <v>1</v>
      </c>
      <c r="E256" s="8">
        <v>1</v>
      </c>
      <c r="F256" s="8" t="s">
        <v>241</v>
      </c>
      <c r="G256" s="8" t="s">
        <v>249</v>
      </c>
      <c r="H256" s="8" t="str">
        <f t="shared" ca="1" si="4"/>
        <v>Kilometre of pipeline</v>
      </c>
      <c r="I256" s="8" t="s">
        <v>1092</v>
      </c>
      <c r="J256" s="8"/>
      <c r="K256" s="16"/>
    </row>
    <row r="257" spans="1:11" x14ac:dyDescent="0.35">
      <c r="A257" s="8" t="s">
        <v>989</v>
      </c>
      <c r="B257" s="8">
        <v>3</v>
      </c>
      <c r="C257" s="8" t="s">
        <v>160</v>
      </c>
      <c r="D257" s="8">
        <v>1</v>
      </c>
      <c r="E257" s="8">
        <v>1</v>
      </c>
      <c r="F257" s="8" t="s">
        <v>241</v>
      </c>
      <c r="G257" s="8" t="s">
        <v>249</v>
      </c>
      <c r="H257" s="8" t="str">
        <f t="shared" ca="1" si="4"/>
        <v>Gas consumption</v>
      </c>
      <c r="I257" s="8" t="s">
        <v>1134</v>
      </c>
      <c r="J257" s="8"/>
      <c r="K257" s="16"/>
    </row>
    <row r="258" spans="1:11" x14ac:dyDescent="0.35">
      <c r="A258" s="8" t="s">
        <v>989</v>
      </c>
      <c r="B258" s="8">
        <v>3</v>
      </c>
      <c r="C258" s="8" t="s">
        <v>160</v>
      </c>
      <c r="D258" s="8">
        <v>1</v>
      </c>
      <c r="E258" s="8">
        <v>1</v>
      </c>
      <c r="F258" s="8" t="s">
        <v>241</v>
      </c>
      <c r="G258" s="8" t="s">
        <v>249</v>
      </c>
      <c r="H258" s="8" t="str">
        <f t="shared" ca="1" si="4"/>
        <v>Kilometre of pipeline</v>
      </c>
      <c r="I258" s="8" t="s">
        <v>1092</v>
      </c>
      <c r="J258" s="8"/>
      <c r="K258" s="16"/>
    </row>
    <row r="259" spans="1:11" x14ac:dyDescent="0.35">
      <c r="A259" s="8" t="s">
        <v>989</v>
      </c>
      <c r="B259" s="8">
        <v>3</v>
      </c>
      <c r="C259" s="8" t="s">
        <v>160</v>
      </c>
      <c r="D259" s="8">
        <v>1</v>
      </c>
      <c r="E259" s="8">
        <v>1</v>
      </c>
      <c r="F259" s="8" t="s">
        <v>241</v>
      </c>
      <c r="G259" s="8" t="s">
        <v>249</v>
      </c>
      <c r="H259" s="8" t="str">
        <f t="shared" ca="1" si="4"/>
        <v>Gas consumption</v>
      </c>
      <c r="I259" s="8" t="s">
        <v>1134</v>
      </c>
      <c r="J259" s="8"/>
      <c r="K259" s="16"/>
    </row>
    <row r="260" spans="1:11" x14ac:dyDescent="0.35">
      <c r="A260" s="8" t="s">
        <v>989</v>
      </c>
      <c r="B260" s="8">
        <v>3</v>
      </c>
      <c r="C260" s="8" t="s">
        <v>160</v>
      </c>
      <c r="D260" s="8">
        <v>1</v>
      </c>
      <c r="E260" s="8">
        <v>1</v>
      </c>
      <c r="F260" s="8" t="s">
        <v>241</v>
      </c>
      <c r="G260" s="8" t="s">
        <v>249</v>
      </c>
      <c r="H260" s="8" t="str">
        <f t="shared" ca="1" si="4"/>
        <v>Kilometre of pipeline</v>
      </c>
      <c r="I260" s="8" t="s">
        <v>1092</v>
      </c>
      <c r="J260" s="8"/>
      <c r="K260" s="16"/>
    </row>
    <row r="261" spans="1:11" x14ac:dyDescent="0.35">
      <c r="A261" s="8" t="s">
        <v>989</v>
      </c>
      <c r="B261" s="8">
        <v>3</v>
      </c>
      <c r="C261" s="8" t="s">
        <v>160</v>
      </c>
      <c r="D261" s="8">
        <v>1</v>
      </c>
      <c r="E261" s="8">
        <v>1</v>
      </c>
      <c r="F261" s="8" t="s">
        <v>241</v>
      </c>
      <c r="G261" s="8" t="s">
        <v>249</v>
      </c>
      <c r="H261" s="8" t="str">
        <f t="shared" ca="1" si="4"/>
        <v>Gas stored</v>
      </c>
      <c r="I261" s="8" t="s">
        <v>1137</v>
      </c>
      <c r="J261" s="8"/>
      <c r="K261" s="16"/>
    </row>
    <row r="262" spans="1:11" x14ac:dyDescent="0.35">
      <c r="A262" s="8" t="s">
        <v>989</v>
      </c>
      <c r="B262" s="8">
        <v>3</v>
      </c>
      <c r="C262" s="8" t="s">
        <v>160</v>
      </c>
      <c r="D262" s="8">
        <v>1</v>
      </c>
      <c r="E262" s="8">
        <v>1</v>
      </c>
      <c r="F262" s="8" t="s">
        <v>241</v>
      </c>
      <c r="G262" s="8" t="s">
        <v>249</v>
      </c>
      <c r="H262" s="8" t="str">
        <f t="shared" ca="1" si="4"/>
        <v>Gas consumption</v>
      </c>
      <c r="I262" s="8" t="s">
        <v>1134</v>
      </c>
      <c r="J262" s="8"/>
      <c r="K262" s="16"/>
    </row>
    <row r="263" spans="1:11" x14ac:dyDescent="0.35">
      <c r="A263" s="8" t="s">
        <v>989</v>
      </c>
      <c r="B263" s="8">
        <v>3</v>
      </c>
      <c r="C263" s="8" t="s">
        <v>160</v>
      </c>
      <c r="D263" s="8">
        <v>1</v>
      </c>
      <c r="E263" s="8">
        <v>1</v>
      </c>
      <c r="F263" s="8" t="s">
        <v>241</v>
      </c>
      <c r="G263" s="8" t="s">
        <v>249</v>
      </c>
      <c r="H263" s="8" t="str">
        <f t="shared" ca="1" si="4"/>
        <v>Kilometre of pipeline</v>
      </c>
      <c r="I263" s="8" t="s">
        <v>1092</v>
      </c>
      <c r="J263" s="8"/>
      <c r="K263" s="16"/>
    </row>
    <row r="264" spans="1:11" x14ac:dyDescent="0.35">
      <c r="A264" s="8" t="s">
        <v>989</v>
      </c>
      <c r="B264" s="8">
        <v>3</v>
      </c>
      <c r="C264" s="8" t="s">
        <v>160</v>
      </c>
      <c r="D264" s="8">
        <v>1</v>
      </c>
      <c r="E264" s="8">
        <v>1</v>
      </c>
      <c r="F264" s="8" t="s">
        <v>241</v>
      </c>
      <c r="G264" s="8" t="s">
        <v>249</v>
      </c>
      <c r="H264" s="8" t="str">
        <f t="shared" ca="1" si="4"/>
        <v>Car</v>
      </c>
      <c r="I264" s="8" t="s">
        <v>1080</v>
      </c>
      <c r="J264" s="8"/>
      <c r="K264" s="16"/>
    </row>
    <row r="265" spans="1:11" x14ac:dyDescent="0.35">
      <c r="A265" s="8" t="s">
        <v>989</v>
      </c>
      <c r="B265" s="8">
        <v>3</v>
      </c>
      <c r="C265" s="8" t="s">
        <v>160</v>
      </c>
      <c r="D265" s="8">
        <v>1</v>
      </c>
      <c r="E265" s="8">
        <v>1</v>
      </c>
      <c r="F265" s="8" t="s">
        <v>241</v>
      </c>
      <c r="G265" s="8" t="s">
        <v>249</v>
      </c>
      <c r="H265" s="8" t="str">
        <f t="shared" ca="1" si="4"/>
        <v>Appliance</v>
      </c>
      <c r="I265" s="8" t="s">
        <v>1081</v>
      </c>
      <c r="J265" s="8"/>
      <c r="K265" s="16"/>
    </row>
    <row r="266" spans="1:11" x14ac:dyDescent="0.35">
      <c r="A266" s="8" t="s">
        <v>989</v>
      </c>
      <c r="B266" s="8">
        <v>3</v>
      </c>
      <c r="C266" s="8" t="s">
        <v>160</v>
      </c>
      <c r="D266" s="8">
        <v>1</v>
      </c>
      <c r="E266" s="8">
        <v>1</v>
      </c>
      <c r="F266" s="8" t="s">
        <v>241</v>
      </c>
      <c r="G266" s="8" t="s">
        <v>249</v>
      </c>
      <c r="H266" s="8" t="str">
        <f t="shared" ca="1" si="4"/>
        <v>Non-residential and commercial gas consumed</v>
      </c>
      <c r="I266" s="8" t="s">
        <v>1140</v>
      </c>
      <c r="J266" s="8"/>
      <c r="K266" s="16"/>
    </row>
    <row r="267" spans="1:11" x14ac:dyDescent="0.35">
      <c r="A267" s="8" t="s">
        <v>989</v>
      </c>
      <c r="B267" s="8">
        <v>3</v>
      </c>
      <c r="C267" s="8" t="s">
        <v>160</v>
      </c>
      <c r="D267" s="8">
        <v>1</v>
      </c>
      <c r="E267" s="8">
        <v>1</v>
      </c>
      <c r="F267" s="8" t="s">
        <v>241</v>
      </c>
      <c r="G267" s="8" t="s">
        <v>249</v>
      </c>
      <c r="H267" s="8" t="str">
        <f t="shared" ca="1" si="4"/>
        <v>Other</v>
      </c>
      <c r="I267" s="8" t="s">
        <v>1003</v>
      </c>
      <c r="J267" s="8"/>
      <c r="K267" s="16"/>
    </row>
    <row r="268" spans="1:11" x14ac:dyDescent="0.35">
      <c r="A268" s="8" t="s">
        <v>989</v>
      </c>
      <c r="B268" s="8">
        <v>3</v>
      </c>
      <c r="C268" s="8" t="s">
        <v>160</v>
      </c>
      <c r="D268" s="8">
        <v>1</v>
      </c>
      <c r="E268" s="8">
        <v>1</v>
      </c>
      <c r="F268" s="8" t="s">
        <v>241</v>
      </c>
      <c r="G268" s="8" t="s">
        <v>249</v>
      </c>
      <c r="H268" s="8" t="str">
        <f t="shared" ca="1" si="4"/>
        <v>Abandoned Gas Wells</v>
      </c>
      <c r="I268" s="8" t="s">
        <v>1009</v>
      </c>
      <c r="J268" s="8"/>
      <c r="K268" s="16"/>
    </row>
    <row r="269" spans="1:11" x14ac:dyDescent="0.35">
      <c r="A269" s="8" t="s">
        <v>989</v>
      </c>
      <c r="B269" s="8">
        <v>3</v>
      </c>
      <c r="C269" s="8" t="s">
        <v>160</v>
      </c>
      <c r="D269" s="8">
        <v>1</v>
      </c>
      <c r="E269" s="8">
        <v>1</v>
      </c>
      <c r="F269" s="8" t="s">
        <v>241</v>
      </c>
      <c r="G269" s="8" t="s">
        <v>249</v>
      </c>
      <c r="H269" s="8" t="str">
        <f t="shared" ca="1" si="4"/>
        <v>Well Count</v>
      </c>
      <c r="I269" s="8" t="s">
        <v>1108</v>
      </c>
      <c r="J269" s="8"/>
      <c r="K269" s="16"/>
    </row>
    <row r="270" spans="1:11" x14ac:dyDescent="0.35">
      <c r="A270" s="8" t="s">
        <v>989</v>
      </c>
      <c r="B270" s="8">
        <v>3</v>
      </c>
      <c r="C270" s="8" t="s">
        <v>160</v>
      </c>
      <c r="D270" s="8">
        <v>1</v>
      </c>
      <c r="E270" s="8">
        <v>1</v>
      </c>
      <c r="F270" s="8" t="s">
        <v>241</v>
      </c>
      <c r="G270" s="8" t="s">
        <v>249</v>
      </c>
      <c r="H270" s="8" t="str">
        <f t="shared" ca="1" si="4"/>
        <v>Station Count</v>
      </c>
      <c r="I270" s="8" t="s">
        <v>1135</v>
      </c>
      <c r="J270" s="8"/>
      <c r="K270" s="16"/>
    </row>
    <row r="271" spans="1:11" x14ac:dyDescent="0.35">
      <c r="A271" s="8" t="s">
        <v>989</v>
      </c>
      <c r="B271" s="8">
        <v>3</v>
      </c>
      <c r="C271" s="8" t="s">
        <v>160</v>
      </c>
      <c r="D271" s="8">
        <v>1</v>
      </c>
      <c r="E271" s="8">
        <v>1</v>
      </c>
      <c r="F271" s="8" t="s">
        <v>241</v>
      </c>
      <c r="G271" s="8" t="s">
        <v>249</v>
      </c>
      <c r="H271" s="8" t="str">
        <f t="shared" ca="1" si="4"/>
        <v>Car Count</v>
      </c>
      <c r="I271" s="123" t="s">
        <v>1138</v>
      </c>
      <c r="J271" s="8"/>
      <c r="K271" s="16"/>
    </row>
    <row r="272" spans="1:11" x14ac:dyDescent="0.35">
      <c r="A272" s="8" t="s">
        <v>989</v>
      </c>
      <c r="B272" s="8">
        <v>3</v>
      </c>
      <c r="C272" s="8" t="s">
        <v>160</v>
      </c>
      <c r="D272" s="8">
        <v>1</v>
      </c>
      <c r="E272" s="8">
        <v>1</v>
      </c>
      <c r="F272" s="8" t="s">
        <v>241</v>
      </c>
      <c r="G272" s="8" t="s">
        <v>249</v>
      </c>
      <c r="H272" s="8" t="str">
        <f t="shared" ca="1" si="4"/>
        <v>Appliance Count</v>
      </c>
      <c r="I272" s="123" t="s">
        <v>1139</v>
      </c>
      <c r="J272" s="8"/>
      <c r="K272" s="16"/>
    </row>
    <row r="273" spans="1:15" x14ac:dyDescent="0.35">
      <c r="A273" s="8" t="s">
        <v>989</v>
      </c>
      <c r="B273" s="8">
        <v>3</v>
      </c>
      <c r="C273" s="8" t="s">
        <v>442</v>
      </c>
      <c r="D273" s="8">
        <v>1</v>
      </c>
      <c r="E273" s="8">
        <v>4</v>
      </c>
      <c r="F273" s="8" t="s">
        <v>243</v>
      </c>
      <c r="G273" s="8" t="s">
        <v>248</v>
      </c>
      <c r="H273" s="8" t="str">
        <f ca="1">IF(INDIRECT($C$1&amp;ROW())="","",INDIRECT($C$1&amp;ROW()))</f>
        <v>Company Name:</v>
      </c>
      <c r="I273" s="8" t="s">
        <v>128</v>
      </c>
      <c r="J273" s="8" t="s">
        <v>255</v>
      </c>
      <c r="K273" s="16" t="s">
        <v>476</v>
      </c>
    </row>
    <row r="274" spans="1:15" x14ac:dyDescent="0.35">
      <c r="A274" s="8" t="s">
        <v>989</v>
      </c>
      <c r="B274" s="8">
        <v>3</v>
      </c>
      <c r="C274" s="8" t="s">
        <v>442</v>
      </c>
      <c r="D274" s="8">
        <v>1</v>
      </c>
      <c r="E274" s="8">
        <v>5</v>
      </c>
      <c r="F274" s="8" t="s">
        <v>243</v>
      </c>
      <c r="G274" s="8" t="s">
        <v>248</v>
      </c>
      <c r="H274" s="8" t="str">
        <f t="shared" ref="H274:H277" ca="1" si="5">IF(INDIRECT($C$1&amp;ROW())="","",INDIRECT($C$1&amp;ROW()))</f>
        <v>Asset ID:</v>
      </c>
      <c r="I274" s="8" t="s">
        <v>983</v>
      </c>
      <c r="J274" s="8"/>
      <c r="K274" s="16"/>
    </row>
    <row r="275" spans="1:15" x14ac:dyDescent="0.35">
      <c r="A275" s="8" t="s">
        <v>989</v>
      </c>
      <c r="B275" s="8">
        <v>3</v>
      </c>
      <c r="C275" s="8" t="s">
        <v>442</v>
      </c>
      <c r="D275" s="8">
        <v>1</v>
      </c>
      <c r="E275" s="8">
        <v>6</v>
      </c>
      <c r="F275" s="8" t="s">
        <v>243</v>
      </c>
      <c r="G275" s="8" t="s">
        <v>248</v>
      </c>
      <c r="H275" s="8" t="str">
        <f t="shared" ca="1" si="5"/>
        <v>Country:</v>
      </c>
      <c r="I275" s="8" t="s">
        <v>984</v>
      </c>
      <c r="J275" s="8"/>
      <c r="K275" s="16"/>
    </row>
    <row r="276" spans="1:15" x14ac:dyDescent="0.35">
      <c r="A276" s="8" t="s">
        <v>989</v>
      </c>
      <c r="B276" s="8">
        <v>3</v>
      </c>
      <c r="C276" s="8" t="s">
        <v>442</v>
      </c>
      <c r="D276" s="8">
        <v>1</v>
      </c>
      <c r="E276" s="8">
        <v>7</v>
      </c>
      <c r="F276" s="8" t="s">
        <v>243</v>
      </c>
      <c r="G276" s="8" t="s">
        <v>248</v>
      </c>
      <c r="H276" s="8" t="str">
        <f t="shared" ca="1" si="5"/>
        <v>Reference Year:</v>
      </c>
      <c r="I276" s="8" t="s">
        <v>171</v>
      </c>
      <c r="J276" s="8" t="s">
        <v>408</v>
      </c>
      <c r="K276" s="16" t="s">
        <v>477</v>
      </c>
    </row>
    <row r="277" spans="1:15" x14ac:dyDescent="0.35">
      <c r="A277" s="8" t="s">
        <v>989</v>
      </c>
      <c r="B277" s="8">
        <v>3</v>
      </c>
      <c r="C277" s="8" t="s">
        <v>442</v>
      </c>
      <c r="D277" s="8">
        <v>1</v>
      </c>
      <c r="E277" s="8">
        <v>2</v>
      </c>
      <c r="F277" s="8" t="s">
        <v>245</v>
      </c>
      <c r="G277" s="8" t="s">
        <v>249</v>
      </c>
      <c r="H277" s="8" t="str">
        <f t="shared" ca="1" si="5"/>
        <v>Error Message</v>
      </c>
      <c r="I277" s="8" t="s">
        <v>210</v>
      </c>
      <c r="J277" s="8" t="s">
        <v>257</v>
      </c>
      <c r="K277" s="16" t="s">
        <v>615</v>
      </c>
    </row>
    <row r="278" spans="1:15" x14ac:dyDescent="0.35">
      <c r="A278" s="8" t="s">
        <v>1019</v>
      </c>
      <c r="B278" s="8">
        <v>5</v>
      </c>
      <c r="C278" s="8" t="s">
        <v>1157</v>
      </c>
      <c r="D278" s="8">
        <v>1</v>
      </c>
      <c r="E278" s="8">
        <v>1</v>
      </c>
      <c r="F278" s="8" t="s">
        <v>241</v>
      </c>
      <c r="G278" s="8" t="s">
        <v>260</v>
      </c>
      <c r="H278" s="8" t="str">
        <f t="shared" ref="H278:H330" ca="1" si="6">IF(INDIRECT($C$1&amp;ROW())="","",INDIRECT($C$1&amp;ROW()))</f>
        <v>Solid Fuel Properties (IPCC)</v>
      </c>
      <c r="I278" s="8" t="s">
        <v>1169</v>
      </c>
      <c r="J278" s="8"/>
      <c r="K278" s="16"/>
    </row>
    <row r="279" spans="1:15" x14ac:dyDescent="0.35">
      <c r="A279" s="8" t="s">
        <v>1019</v>
      </c>
      <c r="B279" s="8">
        <v>5</v>
      </c>
      <c r="C279" s="8" t="s">
        <v>1157</v>
      </c>
      <c r="D279" s="8">
        <v>1</v>
      </c>
      <c r="E279" s="8">
        <v>1</v>
      </c>
      <c r="F279" s="8" t="s">
        <v>241</v>
      </c>
      <c r="G279" s="8" t="s">
        <v>260</v>
      </c>
      <c r="H279" s="8" t="str">
        <f t="shared" ca="1" si="6"/>
        <v>Fuel Type</v>
      </c>
      <c r="I279" s="8" t="s">
        <v>141</v>
      </c>
      <c r="J279" s="8"/>
      <c r="K279" s="16"/>
    </row>
    <row r="280" spans="1:15" x14ac:dyDescent="0.35">
      <c r="A280" s="8" t="s">
        <v>1019</v>
      </c>
      <c r="B280" s="8">
        <v>5</v>
      </c>
      <c r="C280" s="8" t="s">
        <v>1157</v>
      </c>
      <c r="D280" s="8">
        <v>1</v>
      </c>
      <c r="E280" s="8">
        <v>1</v>
      </c>
      <c r="F280" s="8" t="s">
        <v>241</v>
      </c>
      <c r="G280" s="8" t="s">
        <v>260</v>
      </c>
      <c r="H280" s="8" t="str">
        <f t="shared" ca="1" si="6"/>
        <v xml:space="preserve">Combusted </v>
      </c>
      <c r="I280" s="8" t="s">
        <v>142</v>
      </c>
      <c r="J280" s="8"/>
      <c r="K280" s="16"/>
    </row>
    <row r="281" spans="1:15" x14ac:dyDescent="0.35">
      <c r="A281" s="8" t="s">
        <v>1019</v>
      </c>
      <c r="B281" s="8">
        <v>5</v>
      </c>
      <c r="C281" s="8" t="s">
        <v>1157</v>
      </c>
      <c r="D281" s="8">
        <v>1</v>
      </c>
      <c r="E281" s="8">
        <v>1</v>
      </c>
      <c r="F281" s="8" t="s">
        <v>241</v>
      </c>
      <c r="G281" s="8" t="s">
        <v>260</v>
      </c>
      <c r="H281" s="8" t="str">
        <f t="shared" ca="1" si="6"/>
        <v>Amount (GJ/y)</v>
      </c>
      <c r="I281" s="8" t="s">
        <v>1010</v>
      </c>
      <c r="J281" s="8"/>
      <c r="K281" s="16"/>
    </row>
    <row r="282" spans="1:15" x14ac:dyDescent="0.35">
      <c r="A282" s="8" t="s">
        <v>1019</v>
      </c>
      <c r="B282" s="8">
        <v>5</v>
      </c>
      <c r="C282" s="8" t="s">
        <v>1157</v>
      </c>
      <c r="D282" s="8">
        <v>1</v>
      </c>
      <c r="E282" s="8">
        <v>1</v>
      </c>
      <c r="F282" s="8" t="s">
        <v>241</v>
      </c>
      <c r="G282" s="8" t="s">
        <v>260</v>
      </c>
      <c r="H282" s="8" t="str">
        <f t="shared" ca="1" si="6"/>
        <v>Petroleum Refining</v>
      </c>
      <c r="I282" s="8" t="s">
        <v>991</v>
      </c>
      <c r="J282" s="8"/>
      <c r="K282" s="16"/>
    </row>
    <row r="283" spans="1:15" x14ac:dyDescent="0.35">
      <c r="A283" s="8" t="s">
        <v>1019</v>
      </c>
      <c r="B283" s="8">
        <v>5</v>
      </c>
      <c r="C283" s="8" t="s">
        <v>1157</v>
      </c>
      <c r="D283" s="8">
        <v>1</v>
      </c>
      <c r="E283" s="8">
        <v>1</v>
      </c>
      <c r="F283" s="8" t="s">
        <v>241</v>
      </c>
      <c r="G283" s="8" t="s">
        <v>260</v>
      </c>
      <c r="H283" s="8" t="str">
        <f t="shared" ca="1" si="6"/>
        <v>Other Energy Industries</v>
      </c>
      <c r="I283" s="8" t="s">
        <v>993</v>
      </c>
      <c r="J283" s="8"/>
      <c r="K283" s="16"/>
    </row>
    <row r="284" spans="1:15" x14ac:dyDescent="0.35">
      <c r="A284" s="8" t="s">
        <v>1019</v>
      </c>
      <c r="B284" s="8">
        <v>5</v>
      </c>
      <c r="C284" s="8" t="s">
        <v>1157</v>
      </c>
      <c r="D284" s="8">
        <v>1</v>
      </c>
      <c r="E284" s="8">
        <v>1</v>
      </c>
      <c r="F284" s="8" t="s">
        <v>241</v>
      </c>
      <c r="G284" s="8" t="s">
        <v>260</v>
      </c>
      <c r="H284" s="8" t="str">
        <f t="shared" ca="1" si="6"/>
        <v>Higher Heating Value</v>
      </c>
      <c r="I284" s="8" t="s">
        <v>177</v>
      </c>
      <c r="J284" s="8"/>
      <c r="K284" s="16"/>
    </row>
    <row r="285" spans="1:15" x14ac:dyDescent="0.35">
      <c r="A285" s="8" t="s">
        <v>1019</v>
      </c>
      <c r="B285" s="8">
        <v>5</v>
      </c>
      <c r="C285" s="8" t="s">
        <v>1157</v>
      </c>
      <c r="D285" s="8">
        <v>1</v>
      </c>
      <c r="E285" s="8">
        <v>1</v>
      </c>
      <c r="F285" s="8" t="s">
        <v>241</v>
      </c>
      <c r="G285" s="8" t="s">
        <v>260</v>
      </c>
      <c r="H285" s="8" t="str">
        <f t="shared" ca="1" si="6"/>
        <v>Value</v>
      </c>
      <c r="I285" s="8" t="s">
        <v>1</v>
      </c>
      <c r="J285" s="8"/>
      <c r="K285" s="16"/>
    </row>
    <row r="286" spans="1:15" x14ac:dyDescent="0.35">
      <c r="A286" s="8" t="s">
        <v>1019</v>
      </c>
      <c r="B286" s="8">
        <v>5</v>
      </c>
      <c r="C286" s="8" t="s">
        <v>1157</v>
      </c>
      <c r="D286" s="8">
        <v>1</v>
      </c>
      <c r="E286" s="8">
        <v>1</v>
      </c>
      <c r="F286" s="8" t="s">
        <v>241</v>
      </c>
      <c r="G286" s="8" t="s">
        <v>260</v>
      </c>
      <c r="H286" s="8" t="str">
        <f t="shared" ca="1" si="6"/>
        <v>Reference</v>
      </c>
      <c r="I286" s="8" t="s">
        <v>225</v>
      </c>
      <c r="J286" s="8"/>
      <c r="K286" s="16"/>
    </row>
    <row r="287" spans="1:15" x14ac:dyDescent="0.35">
      <c r="A287" s="8" t="s">
        <v>1019</v>
      </c>
      <c r="B287" s="8">
        <v>1</v>
      </c>
      <c r="C287" s="8" t="s">
        <v>442</v>
      </c>
      <c r="D287" s="8">
        <v>1</v>
      </c>
      <c r="E287" s="8">
        <v>1</v>
      </c>
      <c r="F287" s="8" t="s">
        <v>241</v>
      </c>
      <c r="G287" s="8" t="s">
        <v>248</v>
      </c>
      <c r="H287" s="8" t="str">
        <f t="shared" ca="1" si="6"/>
        <v>CH4</v>
      </c>
      <c r="I287" s="8" t="s">
        <v>38</v>
      </c>
      <c r="J287" s="8" t="s">
        <v>38</v>
      </c>
      <c r="K287" s="8" t="s">
        <v>38</v>
      </c>
      <c r="L287" s="14"/>
      <c r="M287" s="14"/>
      <c r="N287" s="14"/>
      <c r="O287" s="14"/>
    </row>
    <row r="288" spans="1:15" x14ac:dyDescent="0.35">
      <c r="A288" s="8" t="s">
        <v>1019</v>
      </c>
      <c r="B288" s="8">
        <v>1</v>
      </c>
      <c r="C288" s="8" t="s">
        <v>442</v>
      </c>
      <c r="D288" s="8">
        <v>1</v>
      </c>
      <c r="E288" s="8">
        <v>1</v>
      </c>
      <c r="F288" s="8" t="s">
        <v>241</v>
      </c>
      <c r="G288" s="8" t="s">
        <v>248</v>
      </c>
      <c r="H288" s="8" t="str">
        <f t="shared" ca="1" si="6"/>
        <v>CO2</v>
      </c>
      <c r="I288" s="8" t="s">
        <v>43</v>
      </c>
      <c r="J288" s="8" t="s">
        <v>43</v>
      </c>
      <c r="K288" s="8" t="s">
        <v>43</v>
      </c>
      <c r="L288" s="14"/>
      <c r="M288" s="14"/>
      <c r="N288" s="14"/>
      <c r="O288" s="14"/>
    </row>
    <row r="289" spans="1:15" x14ac:dyDescent="0.35">
      <c r="A289" s="8" t="s">
        <v>1019</v>
      </c>
      <c r="B289" s="8">
        <v>1</v>
      </c>
      <c r="C289" s="8" t="s">
        <v>442</v>
      </c>
      <c r="D289" s="8">
        <v>1</v>
      </c>
      <c r="E289" s="8">
        <v>1</v>
      </c>
      <c r="F289" s="8" t="s">
        <v>241</v>
      </c>
      <c r="G289" s="8" t="s">
        <v>248</v>
      </c>
      <c r="H289" s="8" t="str">
        <f t="shared" ca="1" si="6"/>
        <v>N2O</v>
      </c>
      <c r="I289" s="8" t="s">
        <v>164</v>
      </c>
      <c r="J289" s="8" t="s">
        <v>164</v>
      </c>
      <c r="K289" s="8" t="s">
        <v>164</v>
      </c>
      <c r="L289" s="14"/>
      <c r="M289" s="14"/>
      <c r="N289" s="14"/>
      <c r="O289" s="14"/>
    </row>
    <row r="290" spans="1:15" x14ac:dyDescent="0.35">
      <c r="A290" s="8" t="s">
        <v>1019</v>
      </c>
      <c r="B290" s="8">
        <v>1</v>
      </c>
      <c r="C290" s="8" t="s">
        <v>442</v>
      </c>
      <c r="D290" s="8">
        <v>1</v>
      </c>
      <c r="E290" s="8">
        <v>1</v>
      </c>
      <c r="F290" s="8" t="s">
        <v>241</v>
      </c>
      <c r="G290" s="8" t="s">
        <v>248</v>
      </c>
      <c r="H290" s="8" t="str">
        <f t="shared" ca="1" si="6"/>
        <v>NOx</v>
      </c>
      <c r="I290" s="8" t="s">
        <v>1175</v>
      </c>
      <c r="J290" s="8" t="s">
        <v>1175</v>
      </c>
      <c r="K290" s="8" t="s">
        <v>1175</v>
      </c>
      <c r="L290" s="14"/>
      <c r="M290" s="14"/>
      <c r="N290" s="14"/>
      <c r="O290" s="14"/>
    </row>
    <row r="291" spans="1:15" x14ac:dyDescent="0.35">
      <c r="A291" s="8" t="s">
        <v>1019</v>
      </c>
      <c r="B291" s="8">
        <v>1</v>
      </c>
      <c r="C291" s="8" t="s">
        <v>442</v>
      </c>
      <c r="D291" s="8">
        <v>1</v>
      </c>
      <c r="E291" s="8">
        <v>1</v>
      </c>
      <c r="F291" s="8" t="s">
        <v>241</v>
      </c>
      <c r="G291" s="8" t="s">
        <v>248</v>
      </c>
      <c r="H291" s="8" t="str">
        <f t="shared" ca="1" si="6"/>
        <v>CO</v>
      </c>
      <c r="I291" s="8" t="s">
        <v>1176</v>
      </c>
      <c r="J291" s="8" t="s">
        <v>1176</v>
      </c>
      <c r="K291" s="8" t="s">
        <v>1176</v>
      </c>
      <c r="L291" s="14"/>
      <c r="M291" s="14"/>
      <c r="N291" s="14"/>
      <c r="O291" s="14"/>
    </row>
    <row r="292" spans="1:15" x14ac:dyDescent="0.35">
      <c r="A292" s="8" t="s">
        <v>1019</v>
      </c>
      <c r="B292" s="8">
        <v>1</v>
      </c>
      <c r="C292" s="8" t="s">
        <v>442</v>
      </c>
      <c r="D292" s="8">
        <v>1</v>
      </c>
      <c r="E292" s="8">
        <v>1</v>
      </c>
      <c r="F292" s="8" t="s">
        <v>241</v>
      </c>
      <c r="G292" s="8" t="s">
        <v>248</v>
      </c>
      <c r="H292" s="8" t="str">
        <f t="shared" ca="1" si="6"/>
        <v>NMVOC</v>
      </c>
      <c r="I292" s="8" t="s">
        <v>1027</v>
      </c>
      <c r="J292" s="8" t="s">
        <v>1027</v>
      </c>
      <c r="K292" s="8" t="s">
        <v>1027</v>
      </c>
      <c r="L292" s="14"/>
      <c r="M292" s="14"/>
      <c r="N292" s="14"/>
      <c r="O292" s="14"/>
    </row>
    <row r="293" spans="1:15" x14ac:dyDescent="0.35">
      <c r="A293" s="8" t="s">
        <v>1019</v>
      </c>
      <c r="B293" s="8">
        <v>1</v>
      </c>
      <c r="C293" s="8" t="s">
        <v>442</v>
      </c>
      <c r="D293" s="8">
        <v>1</v>
      </c>
      <c r="E293" s="8">
        <v>1</v>
      </c>
      <c r="F293" s="8" t="s">
        <v>241</v>
      </c>
      <c r="G293" s="8" t="s">
        <v>248</v>
      </c>
      <c r="H293" s="8" t="str">
        <f t="shared" ca="1" si="6"/>
        <v>SO2</v>
      </c>
      <c r="I293" s="8" t="s">
        <v>1177</v>
      </c>
      <c r="J293" s="8" t="s">
        <v>1177</v>
      </c>
      <c r="K293" s="8" t="s">
        <v>1177</v>
      </c>
      <c r="L293" s="14"/>
      <c r="M293" s="14"/>
      <c r="N293" s="14"/>
      <c r="O293" s="14"/>
    </row>
    <row r="294" spans="1:15" x14ac:dyDescent="0.35">
      <c r="A294" s="8" t="s">
        <v>1019</v>
      </c>
      <c r="B294" s="8">
        <v>1</v>
      </c>
      <c r="C294" s="8" t="s">
        <v>442</v>
      </c>
      <c r="D294" s="8">
        <v>1</v>
      </c>
      <c r="E294" s="8">
        <v>1</v>
      </c>
      <c r="F294" s="8" t="s">
        <v>241</v>
      </c>
      <c r="G294" s="8" t="s">
        <v>248</v>
      </c>
      <c r="H294" s="8" t="str">
        <f t="shared" ca="1" si="6"/>
        <v>(tonnes/y)</v>
      </c>
      <c r="I294" s="8" t="s">
        <v>835</v>
      </c>
      <c r="J294" s="8" t="s">
        <v>835</v>
      </c>
      <c r="K294" s="8" t="s">
        <v>835</v>
      </c>
      <c r="L294" s="14"/>
      <c r="M294" s="14"/>
      <c r="N294" s="14"/>
      <c r="O294" s="14"/>
    </row>
    <row r="295" spans="1:15" x14ac:dyDescent="0.35">
      <c r="A295" s="8" t="s">
        <v>1019</v>
      </c>
      <c r="B295" s="8">
        <v>5</v>
      </c>
      <c r="C295" s="8" t="s">
        <v>1157</v>
      </c>
      <c r="D295" s="8">
        <v>1</v>
      </c>
      <c r="E295" s="8">
        <v>1</v>
      </c>
      <c r="F295" s="8" t="s">
        <v>241</v>
      </c>
      <c r="G295" s="8" t="s">
        <v>260</v>
      </c>
      <c r="H295" s="8" t="str">
        <f t="shared" ca="1" si="6"/>
        <v>Density</v>
      </c>
      <c r="I295" s="8" t="s">
        <v>192</v>
      </c>
      <c r="J295" s="8"/>
      <c r="K295" s="16"/>
    </row>
    <row r="296" spans="1:15" x14ac:dyDescent="0.35">
      <c r="A296" s="8" t="s">
        <v>1019</v>
      </c>
      <c r="B296" s="8">
        <v>5</v>
      </c>
      <c r="C296" s="8" t="s">
        <v>1157</v>
      </c>
      <c r="D296" s="8">
        <v>1</v>
      </c>
      <c r="E296" s="8">
        <v>1</v>
      </c>
      <c r="F296" s="8" t="s">
        <v>241</v>
      </c>
      <c r="G296" s="8" t="s">
        <v>260</v>
      </c>
      <c r="H296" s="8" t="str">
        <f t="shared" ca="1" si="6"/>
        <v>H2S Content</v>
      </c>
      <c r="I296" s="8" t="s">
        <v>1221</v>
      </c>
      <c r="J296" s="8"/>
      <c r="K296" s="16"/>
    </row>
    <row r="297" spans="1:15" x14ac:dyDescent="0.35">
      <c r="A297" s="8" t="s">
        <v>1019</v>
      </c>
      <c r="B297" s="8">
        <v>5</v>
      </c>
      <c r="C297" s="8" t="s">
        <v>1157</v>
      </c>
      <c r="D297" s="8">
        <v>1</v>
      </c>
      <c r="E297" s="8">
        <v>1</v>
      </c>
      <c r="F297" s="8" t="s">
        <v>241</v>
      </c>
      <c r="G297" s="8" t="s">
        <v>260</v>
      </c>
      <c r="H297" s="8" t="str">
        <f t="shared" ca="1" si="6"/>
        <v>(Mol %)</v>
      </c>
      <c r="I297" s="8" t="s">
        <v>1220</v>
      </c>
      <c r="J297" s="8"/>
      <c r="K297" s="16"/>
    </row>
    <row r="298" spans="1:15" x14ac:dyDescent="0.35">
      <c r="A298" s="8" t="s">
        <v>1019</v>
      </c>
      <c r="B298" s="8">
        <v>5</v>
      </c>
      <c r="C298" s="8" t="s">
        <v>1157</v>
      </c>
      <c r="D298" s="8">
        <v>1</v>
      </c>
      <c r="E298" s="8">
        <v>1</v>
      </c>
      <c r="F298" s="8" t="s">
        <v>241</v>
      </c>
      <c r="G298" s="8" t="s">
        <v>260</v>
      </c>
      <c r="H298" s="8" t="str">
        <f t="shared" ca="1" si="6"/>
        <v>Value</v>
      </c>
      <c r="I298" s="8" t="s">
        <v>1</v>
      </c>
      <c r="J298" s="8"/>
      <c r="K298" s="16"/>
    </row>
    <row r="299" spans="1:15" x14ac:dyDescent="0.35">
      <c r="A299" s="8" t="s">
        <v>1019</v>
      </c>
      <c r="B299" s="8">
        <v>5</v>
      </c>
      <c r="C299" s="8" t="s">
        <v>1157</v>
      </c>
      <c r="D299" s="8">
        <v>1</v>
      </c>
      <c r="E299" s="8">
        <v>1</v>
      </c>
      <c r="F299" s="8" t="s">
        <v>241</v>
      </c>
      <c r="G299" s="8" t="s">
        <v>260</v>
      </c>
      <c r="H299" s="8" t="str">
        <f t="shared" ca="1" si="6"/>
        <v>Field Heading</v>
      </c>
      <c r="I299" s="8" t="s">
        <v>249</v>
      </c>
      <c r="K299" s="16"/>
    </row>
    <row r="300" spans="1:15" x14ac:dyDescent="0.35">
      <c r="A300" s="8" t="s">
        <v>1019</v>
      </c>
      <c r="B300" s="8">
        <v>5</v>
      </c>
      <c r="C300" s="8" t="s">
        <v>1157</v>
      </c>
      <c r="D300" s="8">
        <v>1</v>
      </c>
      <c r="E300" s="8">
        <v>1</v>
      </c>
      <c r="F300" s="8" t="s">
        <v>241</v>
      </c>
      <c r="G300" s="8" t="s">
        <v>260</v>
      </c>
      <c r="H300" s="8" t="str">
        <f t="shared" ca="1" si="6"/>
        <v>Tier 1</v>
      </c>
      <c r="I300" s="8" t="s">
        <v>1012</v>
      </c>
      <c r="J300" s="8"/>
      <c r="K300" s="16"/>
    </row>
    <row r="301" spans="1:15" x14ac:dyDescent="0.35">
      <c r="A301" s="8" t="s">
        <v>1019</v>
      </c>
      <c r="B301" s="8">
        <v>5</v>
      </c>
      <c r="C301" s="8" t="s">
        <v>1157</v>
      </c>
      <c r="D301" s="8">
        <v>1</v>
      </c>
      <c r="E301" s="8">
        <v>1</v>
      </c>
      <c r="F301" s="8" t="s">
        <v>241</v>
      </c>
      <c r="G301" s="8" t="s">
        <v>260</v>
      </c>
      <c r="H301" s="8" t="str">
        <f t="shared" ca="1" si="6"/>
        <v>Emission Factors (kg/TJ)</v>
      </c>
      <c r="I301" s="8" t="s">
        <v>1011</v>
      </c>
      <c r="J301" s="8"/>
      <c r="K301" s="16"/>
    </row>
    <row r="302" spans="1:15" x14ac:dyDescent="0.35">
      <c r="A302" s="8" t="s">
        <v>1019</v>
      </c>
      <c r="B302" s="8">
        <v>5</v>
      </c>
      <c r="C302" s="8" t="s">
        <v>1157</v>
      </c>
      <c r="D302" s="8">
        <v>1</v>
      </c>
      <c r="E302" s="8">
        <v>1</v>
      </c>
      <c r="F302" s="8" t="s">
        <v>241</v>
      </c>
      <c r="G302" s="8" t="s">
        <v>260</v>
      </c>
      <c r="H302" s="8" t="str">
        <f t="shared" ca="1" si="6"/>
        <v>Emissions Petroleum Refining</v>
      </c>
      <c r="I302" s="8" t="s">
        <v>1158</v>
      </c>
      <c r="J302" s="8"/>
      <c r="K302" s="16"/>
    </row>
    <row r="303" spans="1:15" x14ac:dyDescent="0.35">
      <c r="A303" s="8" t="s">
        <v>1019</v>
      </c>
      <c r="B303" s="8">
        <v>5</v>
      </c>
      <c r="C303" s="8" t="s">
        <v>1157</v>
      </c>
      <c r="D303" s="8">
        <v>1</v>
      </c>
      <c r="E303" s="8">
        <v>1</v>
      </c>
      <c r="F303" s="8" t="s">
        <v>241</v>
      </c>
      <c r="G303" s="8" t="s">
        <v>260</v>
      </c>
      <c r="H303" s="8" t="str">
        <f t="shared" ca="1" si="6"/>
        <v>Emissions Other Energy Industries</v>
      </c>
      <c r="I303" s="8" t="s">
        <v>1159</v>
      </c>
      <c r="J303" s="8"/>
      <c r="K303" s="16"/>
    </row>
    <row r="304" spans="1:15" x14ac:dyDescent="0.35">
      <c r="A304" s="8" t="s">
        <v>1019</v>
      </c>
      <c r="B304" s="8">
        <v>5</v>
      </c>
      <c r="C304" s="8" t="s">
        <v>1157</v>
      </c>
      <c r="D304" s="8">
        <v>1</v>
      </c>
      <c r="E304" s="8">
        <v>1</v>
      </c>
      <c r="F304" s="8" t="s">
        <v>241</v>
      </c>
      <c r="G304" s="8" t="s">
        <v>260</v>
      </c>
      <c r="H304" s="8" t="str">
        <f t="shared" ca="1" si="6"/>
        <v>Tier 2</v>
      </c>
      <c r="I304" s="8" t="s">
        <v>1013</v>
      </c>
      <c r="J304" s="8"/>
      <c r="K304" s="16"/>
    </row>
    <row r="305" spans="1:11" x14ac:dyDescent="0.35">
      <c r="A305" s="8" t="s">
        <v>1019</v>
      </c>
      <c r="B305" s="8">
        <v>5</v>
      </c>
      <c r="C305" s="8" t="s">
        <v>1157</v>
      </c>
      <c r="D305" s="8">
        <v>1</v>
      </c>
      <c r="E305" s="8">
        <v>1</v>
      </c>
      <c r="F305" s="8" t="s">
        <v>241</v>
      </c>
      <c r="G305" s="8" t="s">
        <v>260</v>
      </c>
      <c r="H305" s="8" t="str">
        <f t="shared" ca="1" si="6"/>
        <v>Liquid Fuel Properties (IPCC)</v>
      </c>
      <c r="I305" s="8" t="s">
        <v>1170</v>
      </c>
      <c r="J305" s="8"/>
      <c r="K305" s="16"/>
    </row>
    <row r="306" spans="1:11" x14ac:dyDescent="0.35">
      <c r="A306" s="8" t="s">
        <v>1019</v>
      </c>
      <c r="B306" s="8">
        <v>5</v>
      </c>
      <c r="C306" s="8" t="s">
        <v>1157</v>
      </c>
      <c r="D306" s="8">
        <v>1</v>
      </c>
      <c r="E306" s="8">
        <v>1</v>
      </c>
      <c r="F306" s="8" t="s">
        <v>241</v>
      </c>
      <c r="G306" s="8" t="s">
        <v>260</v>
      </c>
      <c r="H306" s="8" t="str">
        <f t="shared" ca="1" si="6"/>
        <v>Natural Fuel Properties (IPCC)</v>
      </c>
      <c r="I306" s="8" t="s">
        <v>1171</v>
      </c>
      <c r="J306" s="8"/>
      <c r="K306" s="16"/>
    </row>
    <row r="307" spans="1:11" x14ac:dyDescent="0.35">
      <c r="A307" s="8" t="s">
        <v>1019</v>
      </c>
      <c r="B307" s="8">
        <v>5</v>
      </c>
      <c r="C307" s="8" t="s">
        <v>1157</v>
      </c>
      <c r="D307" s="8">
        <v>1</v>
      </c>
      <c r="E307" s="8">
        <v>1</v>
      </c>
      <c r="F307" s="8" t="s">
        <v>241</v>
      </c>
      <c r="G307" s="8" t="s">
        <v>260</v>
      </c>
      <c r="H307" s="8" t="str">
        <f t="shared" ca="1" si="6"/>
        <v>Category</v>
      </c>
      <c r="I307" s="8" t="s">
        <v>1014</v>
      </c>
      <c r="J307" s="8"/>
      <c r="K307" s="16"/>
    </row>
    <row r="308" spans="1:11" x14ac:dyDescent="0.35">
      <c r="A308" s="8" t="s">
        <v>1019</v>
      </c>
      <c r="B308" s="8">
        <v>5</v>
      </c>
      <c r="C308" s="8" t="s">
        <v>1157</v>
      </c>
      <c r="D308" s="8">
        <v>1</v>
      </c>
      <c r="E308" s="8">
        <v>1</v>
      </c>
      <c r="F308" s="8" t="s">
        <v>241</v>
      </c>
      <c r="G308" s="8" t="s">
        <v>260</v>
      </c>
      <c r="H308" s="8" t="str">
        <f t="shared" ca="1" si="6"/>
        <v>Subcategory</v>
      </c>
      <c r="I308" s="8" t="s">
        <v>28</v>
      </c>
      <c r="J308" s="8"/>
      <c r="K308" s="16"/>
    </row>
    <row r="309" spans="1:11" x14ac:dyDescent="0.35">
      <c r="A309" s="8" t="s">
        <v>1019</v>
      </c>
      <c r="B309" s="8">
        <v>5</v>
      </c>
      <c r="C309" s="8" t="s">
        <v>1157</v>
      </c>
      <c r="D309" s="8">
        <v>1</v>
      </c>
      <c r="E309" s="8">
        <v>1</v>
      </c>
      <c r="F309" s="8" t="s">
        <v>241</v>
      </c>
      <c r="G309" s="8" t="s">
        <v>260</v>
      </c>
      <c r="H309" s="8" t="str">
        <f t="shared" ca="1" si="6"/>
        <v>Type of Activity Parameter</v>
      </c>
      <c r="I309" s="8" t="s">
        <v>1022</v>
      </c>
      <c r="J309" s="8"/>
      <c r="K309" s="16"/>
    </row>
    <row r="310" spans="1:11" x14ac:dyDescent="0.35">
      <c r="A310" s="8" t="s">
        <v>1019</v>
      </c>
      <c r="B310" s="8">
        <v>5</v>
      </c>
      <c r="C310" s="8" t="s">
        <v>1157</v>
      </c>
      <c r="D310" s="8">
        <v>1</v>
      </c>
      <c r="E310" s="8">
        <v>1</v>
      </c>
      <c r="F310" s="8" t="s">
        <v>241</v>
      </c>
      <c r="G310" s="8" t="s">
        <v>260</v>
      </c>
      <c r="H310" s="8" t="str">
        <f t="shared" ca="1" si="6"/>
        <v>Activity</v>
      </c>
      <c r="I310" s="8" t="s">
        <v>112</v>
      </c>
      <c r="J310" s="8"/>
      <c r="K310" s="16"/>
    </row>
    <row r="311" spans="1:11" x14ac:dyDescent="0.35">
      <c r="A311" s="8" t="s">
        <v>1019</v>
      </c>
      <c r="B311" s="8">
        <v>5</v>
      </c>
      <c r="C311" s="8" t="s">
        <v>1157</v>
      </c>
      <c r="D311" s="8">
        <v>1</v>
      </c>
      <c r="E311" s="8">
        <v>1</v>
      </c>
      <c r="F311" s="8" t="s">
        <v>241</v>
      </c>
      <c r="G311" s="8" t="s">
        <v>260</v>
      </c>
      <c r="H311" s="8" t="str">
        <f t="shared" ca="1" si="6"/>
        <v>Units of measure</v>
      </c>
      <c r="I311" s="8" t="s">
        <v>1082</v>
      </c>
      <c r="J311" s="8"/>
      <c r="K311" s="16"/>
    </row>
    <row r="312" spans="1:11" x14ac:dyDescent="0.35">
      <c r="A312" s="8" t="s">
        <v>1019</v>
      </c>
      <c r="B312" s="8">
        <v>5</v>
      </c>
      <c r="C312" s="8" t="s">
        <v>1157</v>
      </c>
      <c r="D312" s="8">
        <v>1</v>
      </c>
      <c r="E312" s="8">
        <v>1</v>
      </c>
      <c r="F312" s="8" t="s">
        <v>241</v>
      </c>
      <c r="G312" s="8" t="s">
        <v>260</v>
      </c>
      <c r="H312" s="8" t="str">
        <f t="shared" ca="1" si="6"/>
        <v>Emission Factors</v>
      </c>
      <c r="I312" s="8" t="s">
        <v>1146</v>
      </c>
      <c r="J312" s="8"/>
      <c r="K312" s="16"/>
    </row>
    <row r="313" spans="1:11" x14ac:dyDescent="0.35">
      <c r="A313" s="8" t="s">
        <v>1019</v>
      </c>
      <c r="B313" s="8">
        <v>5</v>
      </c>
      <c r="C313" s="8" t="s">
        <v>1157</v>
      </c>
      <c r="D313" s="8">
        <v>1</v>
      </c>
      <c r="E313" s="8">
        <v>1</v>
      </c>
      <c r="F313" s="8" t="s">
        <v>241</v>
      </c>
      <c r="G313" s="8" t="s">
        <v>260</v>
      </c>
      <c r="H313" s="8" t="str">
        <f t="shared" ca="1" si="6"/>
        <v>Emissions</v>
      </c>
      <c r="I313" s="8" t="s">
        <v>111</v>
      </c>
      <c r="J313" s="8"/>
      <c r="K313" s="16"/>
    </row>
    <row r="314" spans="1:11" x14ac:dyDescent="0.35">
      <c r="A314" s="8" t="s">
        <v>1019</v>
      </c>
      <c r="B314" s="8">
        <v>5</v>
      </c>
      <c r="C314" s="8" t="s">
        <v>160</v>
      </c>
      <c r="D314" s="8">
        <v>1</v>
      </c>
      <c r="E314" s="8">
        <v>7</v>
      </c>
      <c r="F314" s="8" t="s">
        <v>243</v>
      </c>
      <c r="G314" s="8" t="s">
        <v>248</v>
      </c>
      <c r="H314" s="8" t="str">
        <f t="shared" ca="1" si="6"/>
        <v>Anthracite</v>
      </c>
      <c r="I314" s="8" t="s">
        <v>147</v>
      </c>
      <c r="J314" s="8" t="s">
        <v>269</v>
      </c>
      <c r="K314" s="16" t="s">
        <v>486</v>
      </c>
    </row>
    <row r="315" spans="1:11" x14ac:dyDescent="0.35">
      <c r="A315" s="8" t="s">
        <v>1019</v>
      </c>
      <c r="B315" s="8">
        <v>5</v>
      </c>
      <c r="C315" s="8" t="s">
        <v>160</v>
      </c>
      <c r="D315" s="8">
        <v>1</v>
      </c>
      <c r="E315" s="8">
        <v>8</v>
      </c>
      <c r="F315" s="8" t="s">
        <v>243</v>
      </c>
      <c r="G315" s="8" t="s">
        <v>248</v>
      </c>
      <c r="H315" s="8" t="str">
        <f t="shared" ca="1" si="6"/>
        <v>Bituminous</v>
      </c>
      <c r="I315" s="8" t="s">
        <v>372</v>
      </c>
      <c r="J315" s="8" t="s">
        <v>270</v>
      </c>
      <c r="K315" s="16" t="s">
        <v>766</v>
      </c>
    </row>
    <row r="316" spans="1:11" x14ac:dyDescent="0.35">
      <c r="A316" s="8" t="s">
        <v>1019</v>
      </c>
      <c r="B316" s="8">
        <v>5</v>
      </c>
      <c r="C316" s="8" t="s">
        <v>160</v>
      </c>
      <c r="D316" s="8">
        <v>1</v>
      </c>
      <c r="E316" s="8">
        <v>9</v>
      </c>
      <c r="F316" s="8" t="s">
        <v>243</v>
      </c>
      <c r="G316" s="8" t="s">
        <v>248</v>
      </c>
      <c r="H316" s="8" t="str">
        <f t="shared" ca="1" si="6"/>
        <v>Lignite</v>
      </c>
      <c r="I316" s="8" t="s">
        <v>148</v>
      </c>
      <c r="J316" s="8" t="s">
        <v>271</v>
      </c>
      <c r="K316" s="16" t="s">
        <v>487</v>
      </c>
    </row>
    <row r="317" spans="1:11" x14ac:dyDescent="0.35">
      <c r="A317" s="8" t="s">
        <v>1019</v>
      </c>
      <c r="B317" s="8">
        <v>5</v>
      </c>
      <c r="C317" s="8" t="s">
        <v>160</v>
      </c>
      <c r="D317" s="8">
        <v>1</v>
      </c>
      <c r="E317" s="8">
        <v>10</v>
      </c>
      <c r="F317" s="8" t="s">
        <v>243</v>
      </c>
      <c r="G317" s="8" t="s">
        <v>248</v>
      </c>
      <c r="H317" s="8" t="str">
        <f t="shared" ca="1" si="6"/>
        <v>Cleaned Coal</v>
      </c>
      <c r="I317" s="8" t="s">
        <v>149</v>
      </c>
      <c r="J317" s="8" t="s">
        <v>272</v>
      </c>
      <c r="K317" s="16" t="s">
        <v>488</v>
      </c>
    </row>
    <row r="318" spans="1:11" x14ac:dyDescent="0.35">
      <c r="A318" s="8" t="s">
        <v>1019</v>
      </c>
      <c r="B318" s="8">
        <v>5</v>
      </c>
      <c r="C318" s="8" t="s">
        <v>160</v>
      </c>
      <c r="D318" s="8">
        <v>1</v>
      </c>
      <c r="E318" s="8">
        <v>11</v>
      </c>
      <c r="F318" s="8" t="s">
        <v>243</v>
      </c>
      <c r="G318" s="8" t="s">
        <v>248</v>
      </c>
      <c r="H318" s="8" t="str">
        <f t="shared" ca="1" si="6"/>
        <v>Other Washed Coal</v>
      </c>
      <c r="I318" s="8" t="s">
        <v>150</v>
      </c>
      <c r="J318" s="8" t="s">
        <v>273</v>
      </c>
      <c r="K318" s="16" t="s">
        <v>489</v>
      </c>
    </row>
    <row r="319" spans="1:11" x14ac:dyDescent="0.35">
      <c r="A319" s="8" t="s">
        <v>1019</v>
      </c>
      <c r="B319" s="8">
        <v>5</v>
      </c>
      <c r="C319" s="8" t="s">
        <v>160</v>
      </c>
      <c r="D319" s="8">
        <v>1</v>
      </c>
      <c r="E319" s="8">
        <v>12</v>
      </c>
      <c r="F319" s="8" t="s">
        <v>243</v>
      </c>
      <c r="G319" s="8" t="s">
        <v>248</v>
      </c>
      <c r="H319" s="8" t="str">
        <f t="shared" ca="1" si="6"/>
        <v>Briquette Coal</v>
      </c>
      <c r="I319" s="8" t="s">
        <v>439</v>
      </c>
      <c r="J319" s="8" t="s">
        <v>274</v>
      </c>
      <c r="K319" s="16" t="s">
        <v>490</v>
      </c>
    </row>
    <row r="320" spans="1:11" x14ac:dyDescent="0.35">
      <c r="A320" s="8" t="s">
        <v>1019</v>
      </c>
      <c r="B320" s="8">
        <v>5</v>
      </c>
      <c r="C320" s="8" t="s">
        <v>160</v>
      </c>
      <c r="D320" s="8">
        <v>1</v>
      </c>
      <c r="E320" s="8">
        <v>13</v>
      </c>
      <c r="F320" s="8" t="s">
        <v>243</v>
      </c>
      <c r="G320" s="8" t="s">
        <v>248</v>
      </c>
      <c r="H320" s="8" t="str">
        <f t="shared" ca="1" si="6"/>
        <v>Coke</v>
      </c>
      <c r="I320" s="8" t="s">
        <v>151</v>
      </c>
      <c r="J320" s="8" t="s">
        <v>275</v>
      </c>
      <c r="K320" s="16" t="s">
        <v>491</v>
      </c>
    </row>
    <row r="321" spans="1:12" x14ac:dyDescent="0.35">
      <c r="A321" s="8" t="s">
        <v>1019</v>
      </c>
      <c r="B321" s="8">
        <v>5</v>
      </c>
      <c r="C321" s="8" t="s">
        <v>160</v>
      </c>
      <c r="D321" s="8">
        <v>1</v>
      </c>
      <c r="E321" s="8">
        <v>14</v>
      </c>
      <c r="F321" s="8" t="s">
        <v>243</v>
      </c>
      <c r="G321" s="8" t="s">
        <v>248</v>
      </c>
      <c r="H321" s="8" t="str">
        <f t="shared" ca="1" si="6"/>
        <v>Petroleum Coke</v>
      </c>
      <c r="I321" s="8" t="s">
        <v>159</v>
      </c>
      <c r="J321" s="8" t="s">
        <v>276</v>
      </c>
      <c r="K321" s="16" t="s">
        <v>492</v>
      </c>
    </row>
    <row r="322" spans="1:12" x14ac:dyDescent="0.35">
      <c r="A322" s="8" t="s">
        <v>1019</v>
      </c>
      <c r="B322" s="8">
        <v>5</v>
      </c>
      <c r="C322" s="8" t="s">
        <v>161</v>
      </c>
      <c r="D322" s="8">
        <v>2</v>
      </c>
      <c r="E322" s="8">
        <v>21</v>
      </c>
      <c r="F322" s="8" t="s">
        <v>243</v>
      </c>
      <c r="G322" s="8" t="s">
        <v>248</v>
      </c>
      <c r="H322" s="8" t="str">
        <f t="shared" ca="1" si="6"/>
        <v>Crude Oil</v>
      </c>
      <c r="I322" s="8" t="s">
        <v>32</v>
      </c>
      <c r="J322" s="8" t="s">
        <v>277</v>
      </c>
      <c r="K322" s="16" t="s">
        <v>493</v>
      </c>
    </row>
    <row r="323" spans="1:12" x14ac:dyDescent="0.35">
      <c r="A323" s="8" t="s">
        <v>1019</v>
      </c>
      <c r="B323" s="8">
        <v>5</v>
      </c>
      <c r="C323" s="8" t="s">
        <v>161</v>
      </c>
      <c r="D323" s="8">
        <v>2</v>
      </c>
      <c r="E323" s="8">
        <v>22</v>
      </c>
      <c r="F323" s="8" t="s">
        <v>243</v>
      </c>
      <c r="G323" s="8" t="s">
        <v>248</v>
      </c>
      <c r="H323" s="8" t="str">
        <f t="shared" ca="1" si="6"/>
        <v>Fuel Oil</v>
      </c>
      <c r="I323" s="8" t="s">
        <v>153</v>
      </c>
      <c r="J323" s="8" t="s">
        <v>278</v>
      </c>
      <c r="K323" s="16" t="s">
        <v>494</v>
      </c>
      <c r="L323" s="10"/>
    </row>
    <row r="324" spans="1:12" x14ac:dyDescent="0.35">
      <c r="A324" s="8" t="s">
        <v>1019</v>
      </c>
      <c r="B324" s="8">
        <v>5</v>
      </c>
      <c r="C324" s="8" t="s">
        <v>161</v>
      </c>
      <c r="D324" s="8">
        <v>2</v>
      </c>
      <c r="E324" s="8">
        <v>23</v>
      </c>
      <c r="F324" s="8" t="s">
        <v>243</v>
      </c>
      <c r="G324" s="8" t="s">
        <v>248</v>
      </c>
      <c r="H324" s="8" t="str">
        <f t="shared" ca="1" si="6"/>
        <v>Gasoline</v>
      </c>
      <c r="I324" s="8" t="s">
        <v>154</v>
      </c>
      <c r="J324" s="8" t="s">
        <v>279</v>
      </c>
      <c r="K324" s="16" t="s">
        <v>495</v>
      </c>
    </row>
    <row r="325" spans="1:12" x14ac:dyDescent="0.35">
      <c r="A325" s="8" t="s">
        <v>1019</v>
      </c>
      <c r="B325" s="8">
        <v>5</v>
      </c>
      <c r="C325" s="8" t="s">
        <v>161</v>
      </c>
      <c r="D325" s="8">
        <v>2</v>
      </c>
      <c r="E325" s="8">
        <v>24</v>
      </c>
      <c r="F325" s="8" t="s">
        <v>243</v>
      </c>
      <c r="G325" s="8" t="s">
        <v>248</v>
      </c>
      <c r="H325" s="8" t="str">
        <f t="shared" ca="1" si="6"/>
        <v>Diesel</v>
      </c>
      <c r="I325" s="8" t="s">
        <v>155</v>
      </c>
      <c r="J325" s="8" t="s">
        <v>280</v>
      </c>
      <c r="K325" s="16" t="s">
        <v>497</v>
      </c>
    </row>
    <row r="326" spans="1:12" x14ac:dyDescent="0.35">
      <c r="A326" s="8" t="s">
        <v>1019</v>
      </c>
      <c r="B326" s="8">
        <v>5</v>
      </c>
      <c r="C326" s="8" t="s">
        <v>161</v>
      </c>
      <c r="D326" s="8">
        <v>2</v>
      </c>
      <c r="E326" s="8">
        <v>25</v>
      </c>
      <c r="F326" s="8" t="s">
        <v>243</v>
      </c>
      <c r="G326" s="8" t="s">
        <v>248</v>
      </c>
      <c r="H326" s="8" t="str">
        <f t="shared" ca="1" si="6"/>
        <v>Aviation Kerosene</v>
      </c>
      <c r="I326" s="8" t="s">
        <v>156</v>
      </c>
      <c r="J326" s="8" t="s">
        <v>281</v>
      </c>
      <c r="K326" s="16" t="s">
        <v>498</v>
      </c>
      <c r="L326" s="10"/>
    </row>
    <row r="327" spans="1:12" x14ac:dyDescent="0.35">
      <c r="A327" s="8" t="s">
        <v>1019</v>
      </c>
      <c r="B327" s="8">
        <v>5</v>
      </c>
      <c r="C327" s="8" t="s">
        <v>161</v>
      </c>
      <c r="D327" s="8">
        <v>2</v>
      </c>
      <c r="E327" s="8">
        <v>26</v>
      </c>
      <c r="F327" s="8" t="s">
        <v>243</v>
      </c>
      <c r="G327" s="8" t="s">
        <v>248</v>
      </c>
      <c r="H327" s="8" t="str">
        <f t="shared" ca="1" si="6"/>
        <v>Common Kerosene</v>
      </c>
      <c r="I327" s="8" t="s">
        <v>157</v>
      </c>
      <c r="J327" s="8" t="s">
        <v>282</v>
      </c>
      <c r="K327" s="16" t="s">
        <v>499</v>
      </c>
    </row>
    <row r="328" spans="1:12" x14ac:dyDescent="0.35">
      <c r="A328" s="8" t="s">
        <v>1019</v>
      </c>
      <c r="B328" s="8">
        <v>5</v>
      </c>
      <c r="C328" s="8" t="s">
        <v>161</v>
      </c>
      <c r="D328" s="8">
        <v>2</v>
      </c>
      <c r="E328" s="8">
        <v>27</v>
      </c>
      <c r="F328" s="8" t="s">
        <v>243</v>
      </c>
      <c r="G328" s="8" t="s">
        <v>248</v>
      </c>
      <c r="H328" s="8" t="str">
        <f t="shared" ca="1" si="6"/>
        <v>Naphtha</v>
      </c>
      <c r="I328" s="8" t="s">
        <v>158</v>
      </c>
      <c r="J328" s="8" t="s">
        <v>283</v>
      </c>
      <c r="K328" s="16" t="s">
        <v>500</v>
      </c>
    </row>
    <row r="329" spans="1:12" x14ac:dyDescent="0.35">
      <c r="A329" s="8" t="s">
        <v>1019</v>
      </c>
      <c r="B329" s="8">
        <v>5</v>
      </c>
      <c r="C329" s="8" t="s">
        <v>161</v>
      </c>
      <c r="D329" s="8">
        <v>2</v>
      </c>
      <c r="E329" s="8">
        <v>28</v>
      </c>
      <c r="F329" s="8" t="s">
        <v>243</v>
      </c>
      <c r="G329" s="8" t="s">
        <v>248</v>
      </c>
      <c r="H329" s="8" t="str">
        <f t="shared" ca="1" si="6"/>
        <v>Liquid Petroleum Gas</v>
      </c>
      <c r="I329" s="8" t="s">
        <v>180</v>
      </c>
      <c r="J329" s="5" t="s">
        <v>285</v>
      </c>
      <c r="K329" s="16" t="s">
        <v>501</v>
      </c>
    </row>
    <row r="330" spans="1:12" x14ac:dyDescent="0.35">
      <c r="A330" s="8" t="s">
        <v>1019</v>
      </c>
      <c r="B330" s="8">
        <v>5</v>
      </c>
      <c r="C330" s="8" t="s">
        <v>161</v>
      </c>
      <c r="D330" s="8">
        <v>2</v>
      </c>
      <c r="E330" s="8">
        <v>29</v>
      </c>
      <c r="F330" s="8" t="s">
        <v>243</v>
      </c>
      <c r="G330" s="8" t="s">
        <v>248</v>
      </c>
      <c r="H330" s="8" t="str">
        <f t="shared" ca="1" si="6"/>
        <v>Liquefied Natural Gas</v>
      </c>
      <c r="I330" s="8" t="s">
        <v>181</v>
      </c>
      <c r="J330" s="8" t="s">
        <v>352</v>
      </c>
      <c r="K330" s="16" t="s">
        <v>502</v>
      </c>
    </row>
    <row r="331" spans="1:12" x14ac:dyDescent="0.35">
      <c r="A331" s="8" t="s">
        <v>1019</v>
      </c>
      <c r="B331" s="8">
        <v>5</v>
      </c>
      <c r="C331" s="8" t="s">
        <v>161</v>
      </c>
      <c r="D331" s="8">
        <v>2</v>
      </c>
      <c r="E331" s="8">
        <v>30</v>
      </c>
      <c r="F331" s="8" t="s">
        <v>243</v>
      </c>
      <c r="G331" s="8" t="s">
        <v>248</v>
      </c>
      <c r="H331" s="8" t="s">
        <v>768</v>
      </c>
      <c r="I331" s="8" t="s">
        <v>768</v>
      </c>
      <c r="J331" s="8" t="s">
        <v>769</v>
      </c>
      <c r="K331" s="16" t="s">
        <v>770</v>
      </c>
    </row>
    <row r="332" spans="1:12" x14ac:dyDescent="0.35">
      <c r="A332" s="8" t="s">
        <v>1019</v>
      </c>
      <c r="B332" s="8">
        <v>5</v>
      </c>
      <c r="C332" s="8" t="s">
        <v>179</v>
      </c>
      <c r="D332" s="8">
        <v>3</v>
      </c>
      <c r="E332" s="8">
        <v>37</v>
      </c>
      <c r="F332" s="8" t="s">
        <v>243</v>
      </c>
      <c r="G332" s="8" t="s">
        <v>248</v>
      </c>
      <c r="H332" s="8" t="str">
        <f t="shared" ref="H332:H337" ca="1" si="7">IF(INDIRECT($C$1&amp;ROW())="","",INDIRECT($C$1&amp;ROW()))</f>
        <v>Natural Gas</v>
      </c>
      <c r="I332" s="8" t="s">
        <v>97</v>
      </c>
      <c r="J332" s="8" t="s">
        <v>353</v>
      </c>
      <c r="K332" s="16" t="s">
        <v>503</v>
      </c>
    </row>
    <row r="333" spans="1:12" x14ac:dyDescent="0.35">
      <c r="A333" s="8" t="s">
        <v>1019</v>
      </c>
      <c r="B333" s="8">
        <v>5</v>
      </c>
      <c r="C333" s="8" t="s">
        <v>160</v>
      </c>
      <c r="D333" s="8">
        <v>1</v>
      </c>
      <c r="E333" s="8">
        <v>6</v>
      </c>
      <c r="F333" s="8" t="s">
        <v>245</v>
      </c>
      <c r="G333" s="8" t="s">
        <v>249</v>
      </c>
      <c r="H333" s="8" t="str">
        <f t="shared" ca="1" si="7"/>
        <v>(GJ/Tonne)</v>
      </c>
      <c r="I333" s="8" t="s">
        <v>146</v>
      </c>
      <c r="J333" s="8" t="s">
        <v>268</v>
      </c>
      <c r="K333" s="16" t="s">
        <v>485</v>
      </c>
    </row>
    <row r="334" spans="1:12" x14ac:dyDescent="0.35">
      <c r="A334" s="8" t="s">
        <v>1019</v>
      </c>
      <c r="B334" s="8">
        <v>5</v>
      </c>
      <c r="C334" s="8" t="s">
        <v>160</v>
      </c>
      <c r="D334" s="8">
        <v>1</v>
      </c>
      <c r="E334" s="8">
        <v>6</v>
      </c>
      <c r="F334" s="8" t="s">
        <v>251</v>
      </c>
      <c r="G334" s="8" t="s">
        <v>249</v>
      </c>
      <c r="H334" s="8" t="str">
        <f t="shared" ca="1" si="7"/>
        <v>(kg/m3)</v>
      </c>
      <c r="I334" s="8" t="s">
        <v>39</v>
      </c>
      <c r="J334" s="8" t="s">
        <v>862</v>
      </c>
      <c r="K334" s="8" t="s">
        <v>39</v>
      </c>
    </row>
    <row r="335" spans="1:12" x14ac:dyDescent="0.35">
      <c r="A335" s="8" t="s">
        <v>1019</v>
      </c>
      <c r="B335" s="8">
        <v>5</v>
      </c>
      <c r="C335" s="8" t="s">
        <v>160</v>
      </c>
      <c r="D335" s="8">
        <v>1</v>
      </c>
      <c r="E335" s="8">
        <v>6</v>
      </c>
      <c r="F335" s="8" t="s">
        <v>251</v>
      </c>
      <c r="G335" s="8" t="s">
        <v>249</v>
      </c>
      <c r="H335" s="8" t="str">
        <f t="shared" ca="1" si="7"/>
        <v>S Content</v>
      </c>
      <c r="I335" s="8" t="s">
        <v>1178</v>
      </c>
      <c r="J335" s="8" t="s">
        <v>1178</v>
      </c>
      <c r="K335" s="8" t="s">
        <v>1178</v>
      </c>
    </row>
    <row r="336" spans="1:12" x14ac:dyDescent="0.35">
      <c r="A336" s="8" t="s">
        <v>1019</v>
      </c>
      <c r="B336" s="8">
        <v>5</v>
      </c>
      <c r="C336" s="8" t="s">
        <v>160</v>
      </c>
      <c r="D336" s="8">
        <v>1</v>
      </c>
      <c r="E336" s="8">
        <v>6</v>
      </c>
      <c r="F336" s="8" t="s">
        <v>251</v>
      </c>
      <c r="G336" s="8" t="s">
        <v>249</v>
      </c>
      <c r="H336" s="8" t="str">
        <f t="shared" ca="1" si="7"/>
        <v>(Mass %)</v>
      </c>
      <c r="I336" s="8" t="s">
        <v>1179</v>
      </c>
      <c r="J336" s="8" t="s">
        <v>1179</v>
      </c>
      <c r="K336" s="8" t="s">
        <v>1179</v>
      </c>
    </row>
    <row r="337" spans="1:11" x14ac:dyDescent="0.35">
      <c r="A337" s="8" t="s">
        <v>1019</v>
      </c>
      <c r="B337" s="8">
        <v>5</v>
      </c>
      <c r="C337" s="8" t="s">
        <v>179</v>
      </c>
      <c r="D337" s="8">
        <v>3</v>
      </c>
      <c r="E337" s="8">
        <v>36</v>
      </c>
      <c r="F337" s="8" t="s">
        <v>175</v>
      </c>
      <c r="G337" s="8" t="s">
        <v>249</v>
      </c>
      <c r="H337" s="8" t="str">
        <f t="shared" ca="1" si="7"/>
        <v>(MJ/m3)</v>
      </c>
      <c r="I337" s="8" t="s">
        <v>172</v>
      </c>
      <c r="J337" s="8" t="s">
        <v>863</v>
      </c>
      <c r="K337" s="8" t="s">
        <v>172</v>
      </c>
    </row>
    <row r="338" spans="1:11" x14ac:dyDescent="0.35">
      <c r="A338" s="8" t="s">
        <v>305</v>
      </c>
      <c r="B338" s="8">
        <v>8</v>
      </c>
      <c r="C338" s="8" t="s">
        <v>306</v>
      </c>
      <c r="D338" s="8">
        <v>1</v>
      </c>
      <c r="E338" s="8">
        <v>1</v>
      </c>
      <c r="F338" s="8" t="s">
        <v>241</v>
      </c>
      <c r="G338" s="8" t="s">
        <v>242</v>
      </c>
      <c r="H338" s="8" t="str">
        <f t="shared" ref="H338:H360" ca="1" si="8">IF(INDIRECT($C$1&amp;ROW())="","",INDIRECT($C$1&amp;ROW()))</f>
        <v>Chemical Library</v>
      </c>
      <c r="I338" s="8" t="s">
        <v>306</v>
      </c>
      <c r="J338" s="8" t="s">
        <v>350</v>
      </c>
      <c r="K338" s="16" t="s">
        <v>529</v>
      </c>
    </row>
    <row r="339" spans="1:11" x14ac:dyDescent="0.35">
      <c r="A339" s="8" t="s">
        <v>305</v>
      </c>
      <c r="B339" s="8">
        <v>8</v>
      </c>
      <c r="C339" s="8" t="s">
        <v>306</v>
      </c>
      <c r="D339" s="8">
        <v>1</v>
      </c>
      <c r="E339" s="8">
        <v>2</v>
      </c>
      <c r="F339" s="8" t="s">
        <v>241</v>
      </c>
      <c r="G339" s="8" t="s">
        <v>249</v>
      </c>
      <c r="H339" s="8" t="str">
        <f t="shared" ca="1" si="8"/>
        <v>Substance</v>
      </c>
      <c r="I339" s="8" t="s">
        <v>33</v>
      </c>
      <c r="J339" s="8" t="s">
        <v>316</v>
      </c>
      <c r="K339" s="16" t="s">
        <v>530</v>
      </c>
    </row>
    <row r="340" spans="1:11" x14ac:dyDescent="0.35">
      <c r="A340" s="8" t="s">
        <v>305</v>
      </c>
      <c r="B340" s="8">
        <v>8</v>
      </c>
      <c r="C340" s="8" t="s">
        <v>306</v>
      </c>
      <c r="D340" s="8">
        <v>1</v>
      </c>
      <c r="E340" s="8">
        <v>2</v>
      </c>
      <c r="F340" s="8" t="s">
        <v>27</v>
      </c>
      <c r="G340" s="8" t="s">
        <v>249</v>
      </c>
      <c r="H340" s="8" t="str">
        <f t="shared" ca="1" si="8"/>
        <v>Molecular Weight</v>
      </c>
      <c r="I340" s="8" t="s">
        <v>36</v>
      </c>
      <c r="J340" s="8" t="s">
        <v>284</v>
      </c>
      <c r="K340" s="16" t="s">
        <v>509</v>
      </c>
    </row>
    <row r="341" spans="1:11" x14ac:dyDescent="0.35">
      <c r="A341" s="8" t="s">
        <v>305</v>
      </c>
      <c r="B341" s="8">
        <v>8</v>
      </c>
      <c r="C341" s="8" t="s">
        <v>306</v>
      </c>
      <c r="D341" s="8">
        <v>1</v>
      </c>
      <c r="E341" s="8">
        <v>2</v>
      </c>
      <c r="F341" s="8" t="s">
        <v>245</v>
      </c>
      <c r="G341" s="8" t="s">
        <v>249</v>
      </c>
      <c r="H341" s="8" t="str">
        <f t="shared" ca="1" si="8"/>
        <v>Gas Density at STP</v>
      </c>
      <c r="I341" s="8" t="s">
        <v>115</v>
      </c>
      <c r="J341" s="8" t="s">
        <v>349</v>
      </c>
      <c r="K341" s="16" t="s">
        <v>531</v>
      </c>
    </row>
    <row r="342" spans="1:11" x14ac:dyDescent="0.35">
      <c r="A342" s="8" t="s">
        <v>305</v>
      </c>
      <c r="B342" s="8">
        <v>8</v>
      </c>
      <c r="C342" s="8" t="s">
        <v>306</v>
      </c>
      <c r="D342" s="8">
        <v>1</v>
      </c>
      <c r="E342" s="8">
        <v>2</v>
      </c>
      <c r="F342" s="8" t="s">
        <v>247</v>
      </c>
      <c r="G342" s="8" t="s">
        <v>249</v>
      </c>
      <c r="H342" s="8" t="str">
        <f t="shared" ca="1" si="8"/>
        <v>Liquid Density</v>
      </c>
      <c r="I342" s="8" t="s">
        <v>208</v>
      </c>
      <c r="J342" s="5" t="s">
        <v>347</v>
      </c>
      <c r="K342" s="16" t="s">
        <v>532</v>
      </c>
    </row>
    <row r="343" spans="1:11" x14ac:dyDescent="0.35">
      <c r="A343" s="8" t="s">
        <v>305</v>
      </c>
      <c r="B343" s="8">
        <v>8</v>
      </c>
      <c r="C343" s="8" t="s">
        <v>306</v>
      </c>
      <c r="D343" s="8">
        <v>1</v>
      </c>
      <c r="E343" s="8">
        <v>2</v>
      </c>
      <c r="F343" s="8" t="s">
        <v>173</v>
      </c>
      <c r="G343" s="8" t="s">
        <v>249</v>
      </c>
      <c r="H343" s="8" t="str">
        <f t="shared" ca="1" si="8"/>
        <v>Specific Heat Capacity (Cp)</v>
      </c>
      <c r="I343" s="8" t="s">
        <v>440</v>
      </c>
      <c r="J343" s="8" t="s">
        <v>346</v>
      </c>
      <c r="K343" s="16" t="s">
        <v>533</v>
      </c>
    </row>
    <row r="344" spans="1:11" x14ac:dyDescent="0.35">
      <c r="A344" s="8" t="s">
        <v>305</v>
      </c>
      <c r="B344" s="8">
        <v>8</v>
      </c>
      <c r="C344" s="8" t="s">
        <v>306</v>
      </c>
      <c r="D344" s="8">
        <v>1</v>
      </c>
      <c r="E344" s="8">
        <v>2</v>
      </c>
      <c r="F344" s="8" t="s">
        <v>263</v>
      </c>
      <c r="G344" s="8" t="s">
        <v>249</v>
      </c>
      <c r="H344" s="8" t="str">
        <f t="shared" ca="1" si="8"/>
        <v>Lower Heating Value</v>
      </c>
      <c r="I344" s="8" t="s">
        <v>145</v>
      </c>
      <c r="J344" s="8" t="s">
        <v>267</v>
      </c>
      <c r="K344" s="16" t="s">
        <v>483</v>
      </c>
    </row>
    <row r="345" spans="1:11" x14ac:dyDescent="0.35">
      <c r="A345" s="8" t="s">
        <v>305</v>
      </c>
      <c r="B345" s="8">
        <v>8</v>
      </c>
      <c r="C345" s="8" t="s">
        <v>306</v>
      </c>
      <c r="D345" s="8">
        <v>1</v>
      </c>
      <c r="E345" s="8">
        <v>2</v>
      </c>
      <c r="F345" s="8" t="s">
        <v>176</v>
      </c>
      <c r="G345" s="8" t="s">
        <v>249</v>
      </c>
      <c r="H345" s="8" t="str">
        <f t="shared" ca="1" si="8"/>
        <v>Higher Heating Value</v>
      </c>
      <c r="I345" s="8" t="s">
        <v>177</v>
      </c>
      <c r="J345" s="5" t="s">
        <v>404</v>
      </c>
      <c r="K345" s="16" t="s">
        <v>534</v>
      </c>
    </row>
    <row r="346" spans="1:11" x14ac:dyDescent="0.35">
      <c r="A346" s="8" t="s">
        <v>305</v>
      </c>
      <c r="B346" s="8">
        <v>8</v>
      </c>
      <c r="C346" s="8" t="s">
        <v>306</v>
      </c>
      <c r="D346" s="8">
        <v>1</v>
      </c>
      <c r="E346" s="8">
        <v>2</v>
      </c>
      <c r="F346" s="8" t="s">
        <v>174</v>
      </c>
      <c r="G346" s="8" t="s">
        <v>249</v>
      </c>
      <c r="H346" s="8" t="str">
        <f t="shared" ca="1" si="8"/>
        <v>Composition (Atoms/Molecule)</v>
      </c>
      <c r="I346" s="8" t="s">
        <v>194</v>
      </c>
      <c r="J346" s="8" t="s">
        <v>348</v>
      </c>
      <c r="K346" s="16" t="s">
        <v>535</v>
      </c>
    </row>
    <row r="347" spans="1:11" x14ac:dyDescent="0.35">
      <c r="A347" s="8" t="s">
        <v>305</v>
      </c>
      <c r="B347" s="8">
        <v>8</v>
      </c>
      <c r="C347" s="8" t="s">
        <v>306</v>
      </c>
      <c r="D347" s="8">
        <v>1</v>
      </c>
      <c r="E347" s="8">
        <v>2</v>
      </c>
      <c r="F347" s="8" t="s">
        <v>289</v>
      </c>
      <c r="G347" s="8" t="s">
        <v>249</v>
      </c>
      <c r="H347" s="8" t="str">
        <f t="shared" ca="1" si="8"/>
        <v>Carbon Content</v>
      </c>
      <c r="I347" s="8" t="s">
        <v>144</v>
      </c>
      <c r="J347" s="5" t="s">
        <v>345</v>
      </c>
      <c r="K347" s="16" t="s">
        <v>484</v>
      </c>
    </row>
    <row r="348" spans="1:11" x14ac:dyDescent="0.35">
      <c r="A348" s="8" t="s">
        <v>305</v>
      </c>
      <c r="B348" s="8">
        <v>8</v>
      </c>
      <c r="C348" s="8" t="s">
        <v>306</v>
      </c>
      <c r="D348" s="8">
        <v>1</v>
      </c>
      <c r="E348" s="8">
        <v>3</v>
      </c>
      <c r="F348" s="8" t="s">
        <v>241</v>
      </c>
      <c r="G348" s="8" t="s">
        <v>249</v>
      </c>
      <c r="H348" s="8" t="str">
        <f t="shared" ca="1" si="8"/>
        <v>Name</v>
      </c>
      <c r="I348" s="8" t="s">
        <v>34</v>
      </c>
      <c r="J348" s="8" t="s">
        <v>314</v>
      </c>
      <c r="K348" s="16" t="s">
        <v>536</v>
      </c>
    </row>
    <row r="349" spans="1:11" x14ac:dyDescent="0.35">
      <c r="A349" s="8" t="s">
        <v>305</v>
      </c>
      <c r="B349" s="8">
        <v>8</v>
      </c>
      <c r="C349" s="8" t="s">
        <v>306</v>
      </c>
      <c r="D349" s="8">
        <v>1</v>
      </c>
      <c r="E349" s="8">
        <v>3</v>
      </c>
      <c r="F349" s="8" t="s">
        <v>243</v>
      </c>
      <c r="G349" s="8" t="s">
        <v>249</v>
      </c>
      <c r="H349" s="8" t="str">
        <f t="shared" ca="1" si="8"/>
        <v>Formula</v>
      </c>
      <c r="I349" s="8" t="s">
        <v>35</v>
      </c>
      <c r="J349" s="8" t="s">
        <v>315</v>
      </c>
      <c r="K349" s="16" t="s">
        <v>537</v>
      </c>
    </row>
    <row r="350" spans="1:11" x14ac:dyDescent="0.35">
      <c r="A350" s="8" t="s">
        <v>305</v>
      </c>
      <c r="B350" s="8">
        <v>8</v>
      </c>
      <c r="C350" s="8" t="s">
        <v>306</v>
      </c>
      <c r="D350" s="8">
        <v>1</v>
      </c>
      <c r="E350" s="8">
        <v>3</v>
      </c>
      <c r="F350" s="8" t="s">
        <v>27</v>
      </c>
      <c r="G350" s="8" t="s">
        <v>249</v>
      </c>
      <c r="H350" s="8" t="str">
        <f t="shared" ca="1" si="8"/>
        <v>(kg/kmol)</v>
      </c>
      <c r="I350" s="8" t="s">
        <v>227</v>
      </c>
      <c r="J350" s="8" t="s">
        <v>337</v>
      </c>
      <c r="K350" s="16" t="s">
        <v>227</v>
      </c>
    </row>
    <row r="351" spans="1:11" x14ac:dyDescent="0.35">
      <c r="A351" s="8" t="s">
        <v>305</v>
      </c>
      <c r="B351" s="8">
        <v>8</v>
      </c>
      <c r="C351" s="8" t="s">
        <v>306</v>
      </c>
      <c r="D351" s="8">
        <v>1</v>
      </c>
      <c r="E351" s="8">
        <v>3</v>
      </c>
      <c r="F351" s="8" t="s">
        <v>245</v>
      </c>
      <c r="G351" s="8" t="s">
        <v>249</v>
      </c>
      <c r="H351" s="8" t="str">
        <f t="shared" ca="1" si="8"/>
        <v>At 15°C</v>
      </c>
      <c r="I351" s="8" t="s">
        <v>307</v>
      </c>
      <c r="J351" s="5" t="s">
        <v>344</v>
      </c>
      <c r="K351" s="16" t="s">
        <v>538</v>
      </c>
    </row>
    <row r="352" spans="1:11" x14ac:dyDescent="0.35">
      <c r="A352" s="8" t="s">
        <v>305</v>
      </c>
      <c r="B352" s="8">
        <v>8</v>
      </c>
      <c r="C352" s="8" t="s">
        <v>306</v>
      </c>
      <c r="D352" s="8">
        <v>1</v>
      </c>
      <c r="E352" s="8">
        <v>3</v>
      </c>
      <c r="F352" s="8" t="s">
        <v>246</v>
      </c>
      <c r="G352" s="8" t="s">
        <v>249</v>
      </c>
      <c r="H352" s="8" t="str">
        <f t="shared" ca="1" si="8"/>
        <v>At Standard T</v>
      </c>
      <c r="I352" s="8" t="s">
        <v>206</v>
      </c>
      <c r="J352" s="8" t="s">
        <v>343</v>
      </c>
      <c r="K352" s="16" t="s">
        <v>539</v>
      </c>
    </row>
    <row r="353" spans="1:11" x14ac:dyDescent="0.35">
      <c r="A353" s="8" t="s">
        <v>305</v>
      </c>
      <c r="B353" s="8">
        <v>8</v>
      </c>
      <c r="C353" s="8" t="s">
        <v>306</v>
      </c>
      <c r="D353" s="8">
        <v>1</v>
      </c>
      <c r="E353" s="8">
        <v>3</v>
      </c>
      <c r="F353" s="8" t="s">
        <v>247</v>
      </c>
      <c r="G353" s="8" t="s">
        <v>249</v>
      </c>
      <c r="H353" s="8" t="str">
        <f t="shared" ca="1" si="8"/>
        <v>At 15°C</v>
      </c>
      <c r="I353" s="8" t="s">
        <v>307</v>
      </c>
      <c r="J353" s="5" t="s">
        <v>344</v>
      </c>
      <c r="K353" s="16" t="s">
        <v>538</v>
      </c>
    </row>
    <row r="354" spans="1:11" x14ac:dyDescent="0.35">
      <c r="A354" s="8" t="s">
        <v>305</v>
      </c>
      <c r="B354" s="8">
        <v>8</v>
      </c>
      <c r="C354" s="8" t="s">
        <v>306</v>
      </c>
      <c r="D354" s="8">
        <v>1</v>
      </c>
      <c r="E354" s="8">
        <v>3</v>
      </c>
      <c r="F354" s="8" t="s">
        <v>173</v>
      </c>
      <c r="G354" s="8" t="s">
        <v>249</v>
      </c>
      <c r="H354" s="8" t="str">
        <f t="shared" ca="1" si="8"/>
        <v>Ideal Gas</v>
      </c>
      <c r="I354" s="8" t="s">
        <v>198</v>
      </c>
      <c r="J354" s="8" t="s">
        <v>336</v>
      </c>
      <c r="K354" s="16" t="s">
        <v>540</v>
      </c>
    </row>
    <row r="355" spans="1:11" x14ac:dyDescent="0.35">
      <c r="A355" s="8" t="s">
        <v>305</v>
      </c>
      <c r="B355" s="8">
        <v>8</v>
      </c>
      <c r="C355" s="8" t="s">
        <v>306</v>
      </c>
      <c r="D355" s="8">
        <v>1</v>
      </c>
      <c r="E355" s="8">
        <v>3</v>
      </c>
      <c r="F355" s="8" t="s">
        <v>253</v>
      </c>
      <c r="G355" s="8" t="s">
        <v>249</v>
      </c>
      <c r="H355" s="8" t="str">
        <f t="shared" ca="1" si="8"/>
        <v>Liquid</v>
      </c>
      <c r="I355" s="8" t="s">
        <v>199</v>
      </c>
      <c r="J355" s="8" t="s">
        <v>335</v>
      </c>
      <c r="K355" s="16" t="s">
        <v>541</v>
      </c>
    </row>
    <row r="356" spans="1:11" x14ac:dyDescent="0.35">
      <c r="A356" s="8" t="s">
        <v>305</v>
      </c>
      <c r="B356" s="8">
        <v>8</v>
      </c>
      <c r="C356" s="8" t="s">
        <v>306</v>
      </c>
      <c r="D356" s="8">
        <v>1</v>
      </c>
      <c r="E356" s="8">
        <v>3</v>
      </c>
      <c r="F356" s="8" t="s">
        <v>263</v>
      </c>
      <c r="G356" s="8" t="s">
        <v>249</v>
      </c>
      <c r="H356" s="8" t="str">
        <f t="shared" ca="1" si="8"/>
        <v>At 15°C</v>
      </c>
      <c r="I356" s="8" t="s">
        <v>307</v>
      </c>
      <c r="J356" s="5" t="s">
        <v>344</v>
      </c>
      <c r="K356" s="16" t="s">
        <v>538</v>
      </c>
    </row>
    <row r="357" spans="1:11" x14ac:dyDescent="0.35">
      <c r="A357" s="8" t="s">
        <v>305</v>
      </c>
      <c r="B357" s="8">
        <v>8</v>
      </c>
      <c r="C357" s="8" t="s">
        <v>306</v>
      </c>
      <c r="D357" s="8">
        <v>1</v>
      </c>
      <c r="E357" s="8">
        <v>3</v>
      </c>
      <c r="F357" s="8" t="s">
        <v>262</v>
      </c>
      <c r="G357" s="8" t="s">
        <v>249</v>
      </c>
      <c r="H357" s="8" t="str">
        <f t="shared" ca="1" si="8"/>
        <v>At Standard T</v>
      </c>
      <c r="I357" s="8" t="s">
        <v>206</v>
      </c>
      <c r="J357" s="8" t="s">
        <v>343</v>
      </c>
      <c r="K357" s="16" t="s">
        <v>539</v>
      </c>
    </row>
    <row r="358" spans="1:11" x14ac:dyDescent="0.35">
      <c r="A358" s="8" t="s">
        <v>305</v>
      </c>
      <c r="B358" s="8">
        <v>8</v>
      </c>
      <c r="C358" s="8" t="s">
        <v>306</v>
      </c>
      <c r="D358" s="8">
        <v>1</v>
      </c>
      <c r="E358" s="8">
        <v>3</v>
      </c>
      <c r="F358" s="8" t="s">
        <v>176</v>
      </c>
      <c r="G358" s="8" t="s">
        <v>249</v>
      </c>
      <c r="H358" s="8" t="str">
        <f t="shared" ca="1" si="8"/>
        <v>At 15°C</v>
      </c>
      <c r="I358" s="8" t="s">
        <v>307</v>
      </c>
      <c r="J358" s="5" t="s">
        <v>344</v>
      </c>
      <c r="K358" s="16" t="s">
        <v>538</v>
      </c>
    </row>
    <row r="359" spans="1:11" x14ac:dyDescent="0.35">
      <c r="A359" s="8" t="s">
        <v>305</v>
      </c>
      <c r="B359" s="8">
        <v>8</v>
      </c>
      <c r="C359" s="8" t="s">
        <v>306</v>
      </c>
      <c r="D359" s="8">
        <v>1</v>
      </c>
      <c r="E359" s="8">
        <v>3</v>
      </c>
      <c r="F359" s="8" t="s">
        <v>266</v>
      </c>
      <c r="G359" s="8" t="s">
        <v>249</v>
      </c>
      <c r="H359" s="8" t="str">
        <f t="shared" ca="1" si="8"/>
        <v>At Standard T</v>
      </c>
      <c r="I359" s="8" t="s">
        <v>206</v>
      </c>
      <c r="J359" s="8" t="s">
        <v>343</v>
      </c>
      <c r="K359" s="16" t="s">
        <v>539</v>
      </c>
    </row>
    <row r="360" spans="1:11" x14ac:dyDescent="0.35">
      <c r="A360" s="8" t="s">
        <v>305</v>
      </c>
      <c r="B360" s="8">
        <v>8</v>
      </c>
      <c r="C360" s="8" t="s">
        <v>306</v>
      </c>
      <c r="D360" s="8">
        <v>1</v>
      </c>
      <c r="E360" s="8">
        <v>3</v>
      </c>
      <c r="F360" s="8" t="s">
        <v>174</v>
      </c>
      <c r="G360" s="8" t="s">
        <v>249</v>
      </c>
      <c r="H360" s="8" t="str">
        <f t="shared" ca="1" si="8"/>
        <v>C</v>
      </c>
      <c r="I360" s="2" t="s">
        <v>27</v>
      </c>
      <c r="J360" s="2" t="s">
        <v>402</v>
      </c>
      <c r="K360" s="16" t="s">
        <v>27</v>
      </c>
    </row>
    <row r="361" spans="1:11" x14ac:dyDescent="0.35">
      <c r="A361" s="8" t="s">
        <v>305</v>
      </c>
      <c r="B361" s="8">
        <v>8</v>
      </c>
      <c r="C361" s="8" t="s">
        <v>306</v>
      </c>
      <c r="D361" s="8">
        <v>1</v>
      </c>
      <c r="E361" s="8">
        <v>3</v>
      </c>
      <c r="F361" s="8" t="s">
        <v>286</v>
      </c>
      <c r="G361" s="8" t="s">
        <v>249</v>
      </c>
      <c r="H361" s="8" t="str">
        <f t="shared" ref="H361:H558" ca="1" si="9">IF(INDIRECT($C$1&amp;ROW())="","",INDIRECT($C$1&amp;ROW()))</f>
        <v>H</v>
      </c>
      <c r="I361" s="8" t="s">
        <v>173</v>
      </c>
      <c r="J361" s="8" t="s">
        <v>403</v>
      </c>
      <c r="K361" s="16" t="s">
        <v>173</v>
      </c>
    </row>
    <row r="362" spans="1:11" x14ac:dyDescent="0.35">
      <c r="A362" s="8" t="s">
        <v>305</v>
      </c>
      <c r="B362" s="8">
        <v>8</v>
      </c>
      <c r="C362" s="8" t="s">
        <v>306</v>
      </c>
      <c r="D362" s="8">
        <v>1</v>
      </c>
      <c r="E362" s="8">
        <v>3</v>
      </c>
      <c r="F362" s="8" t="s">
        <v>287</v>
      </c>
      <c r="G362" s="8" t="s">
        <v>249</v>
      </c>
      <c r="H362" s="8" t="str">
        <f t="shared" ca="1" si="9"/>
        <v>S</v>
      </c>
      <c r="I362" s="8" t="s">
        <v>174</v>
      </c>
      <c r="J362" s="8" t="s">
        <v>174</v>
      </c>
      <c r="K362" s="8" t="s">
        <v>174</v>
      </c>
    </row>
    <row r="363" spans="1:11" x14ac:dyDescent="0.35">
      <c r="A363" s="8" t="s">
        <v>305</v>
      </c>
      <c r="B363" s="8">
        <v>8</v>
      </c>
      <c r="C363" s="8" t="s">
        <v>306</v>
      </c>
      <c r="D363" s="8">
        <v>1</v>
      </c>
      <c r="E363" s="8">
        <v>3</v>
      </c>
      <c r="F363" s="8" t="s">
        <v>117</v>
      </c>
      <c r="G363" s="8" t="s">
        <v>249</v>
      </c>
      <c r="H363" s="8" t="str">
        <f t="shared" ca="1" si="9"/>
        <v>N</v>
      </c>
      <c r="I363" s="8" t="s">
        <v>175</v>
      </c>
      <c r="J363" s="8" t="s">
        <v>175</v>
      </c>
      <c r="K363" s="8" t="s">
        <v>175</v>
      </c>
    </row>
    <row r="364" spans="1:11" x14ac:dyDescent="0.35">
      <c r="A364" s="8" t="s">
        <v>305</v>
      </c>
      <c r="B364" s="8">
        <v>8</v>
      </c>
      <c r="C364" s="8" t="s">
        <v>306</v>
      </c>
      <c r="D364" s="8">
        <v>1</v>
      </c>
      <c r="E364" s="8">
        <v>3</v>
      </c>
      <c r="F364" s="8" t="s">
        <v>288</v>
      </c>
      <c r="G364" s="8" t="s">
        <v>249</v>
      </c>
      <c r="H364" s="8" t="str">
        <f t="shared" ca="1" si="9"/>
        <v>O</v>
      </c>
      <c r="I364" s="8" t="s">
        <v>176</v>
      </c>
      <c r="J364" s="8" t="s">
        <v>176</v>
      </c>
      <c r="K364" s="8" t="s">
        <v>176</v>
      </c>
    </row>
    <row r="365" spans="1:11" x14ac:dyDescent="0.35">
      <c r="A365" s="8" t="s">
        <v>305</v>
      </c>
      <c r="B365" s="8">
        <v>8</v>
      </c>
      <c r="C365" s="8" t="s">
        <v>306</v>
      </c>
      <c r="D365" s="8">
        <v>1</v>
      </c>
      <c r="E365" s="8">
        <v>3</v>
      </c>
      <c r="F365" s="8" t="s">
        <v>289</v>
      </c>
      <c r="G365" s="8" t="s">
        <v>249</v>
      </c>
      <c r="H365" s="8" t="str">
        <f t="shared" ca="1" si="9"/>
        <v>(tonnes/10^3 Nm3)</v>
      </c>
      <c r="I365" s="8" t="s">
        <v>836</v>
      </c>
      <c r="J365" s="8" t="s">
        <v>837</v>
      </c>
      <c r="K365" s="16" t="s">
        <v>838</v>
      </c>
    </row>
    <row r="366" spans="1:11" x14ac:dyDescent="0.35">
      <c r="A366" s="8" t="s">
        <v>305</v>
      </c>
      <c r="B366" s="8">
        <v>8</v>
      </c>
      <c r="C366" s="8" t="s">
        <v>306</v>
      </c>
      <c r="D366" s="8">
        <v>1</v>
      </c>
      <c r="E366" s="8">
        <v>3</v>
      </c>
      <c r="F366" s="8" t="s">
        <v>290</v>
      </c>
      <c r="G366" s="8" t="s">
        <v>249</v>
      </c>
      <c r="H366" s="8" t="str">
        <f t="shared" ca="1" si="9"/>
        <v>kg/kg</v>
      </c>
      <c r="I366" s="8" t="s">
        <v>195</v>
      </c>
      <c r="J366" s="8" t="s">
        <v>195</v>
      </c>
      <c r="K366" s="16" t="s">
        <v>195</v>
      </c>
    </row>
    <row r="367" spans="1:11" x14ac:dyDescent="0.35">
      <c r="A367" s="8" t="s">
        <v>305</v>
      </c>
      <c r="B367" s="8">
        <v>8</v>
      </c>
      <c r="C367" s="8" t="s">
        <v>306</v>
      </c>
      <c r="D367" s="8">
        <v>1</v>
      </c>
      <c r="E367" s="8">
        <v>4</v>
      </c>
      <c r="F367" s="8" t="s">
        <v>245</v>
      </c>
      <c r="G367" s="8" t="s">
        <v>249</v>
      </c>
      <c r="H367" s="8" t="str">
        <f t="shared" ca="1" si="9"/>
        <v>(kg/m3)</v>
      </c>
      <c r="I367" s="8" t="s">
        <v>39</v>
      </c>
      <c r="J367" s="8" t="s">
        <v>39</v>
      </c>
      <c r="K367" s="16" t="s">
        <v>39</v>
      </c>
    </row>
    <row r="368" spans="1:11" x14ac:dyDescent="0.35">
      <c r="A368" s="8" t="s">
        <v>305</v>
      </c>
      <c r="B368" s="8">
        <v>8</v>
      </c>
      <c r="C368" s="8" t="s">
        <v>306</v>
      </c>
      <c r="D368" s="8">
        <v>1</v>
      </c>
      <c r="E368" s="8">
        <v>4</v>
      </c>
      <c r="F368" s="8" t="s">
        <v>246</v>
      </c>
      <c r="G368" s="8" t="s">
        <v>249</v>
      </c>
      <c r="H368" s="8" t="str">
        <f t="shared" ca="1" si="9"/>
        <v>(kg/m3)</v>
      </c>
      <c r="I368" s="8" t="s">
        <v>39</v>
      </c>
      <c r="J368" s="8" t="s">
        <v>39</v>
      </c>
      <c r="K368" s="16" t="s">
        <v>39</v>
      </c>
    </row>
    <row r="369" spans="1:11" x14ac:dyDescent="0.35">
      <c r="A369" s="8" t="s">
        <v>305</v>
      </c>
      <c r="B369" s="8">
        <v>8</v>
      </c>
      <c r="C369" s="8" t="s">
        <v>306</v>
      </c>
      <c r="D369" s="8">
        <v>1</v>
      </c>
      <c r="E369" s="8">
        <v>4</v>
      </c>
      <c r="F369" s="8" t="s">
        <v>247</v>
      </c>
      <c r="G369" s="8" t="s">
        <v>249</v>
      </c>
      <c r="H369" s="8" t="str">
        <f t="shared" ca="1" si="9"/>
        <v>(kg/m3)</v>
      </c>
      <c r="I369" s="8" t="s">
        <v>39</v>
      </c>
      <c r="J369" s="8" t="s">
        <v>39</v>
      </c>
      <c r="K369" s="16" t="s">
        <v>39</v>
      </c>
    </row>
    <row r="370" spans="1:11" x14ac:dyDescent="0.35">
      <c r="A370" s="8" t="s">
        <v>305</v>
      </c>
      <c r="B370" s="8">
        <v>8</v>
      </c>
      <c r="C370" s="8" t="s">
        <v>306</v>
      </c>
      <c r="D370" s="8">
        <v>1</v>
      </c>
      <c r="E370" s="8">
        <v>4</v>
      </c>
      <c r="F370" s="8" t="s">
        <v>251</v>
      </c>
      <c r="G370" s="8" t="s">
        <v>249</v>
      </c>
      <c r="H370" s="8" t="str">
        <f t="shared" ca="1" si="9"/>
        <v>(Nm3/kmol)</v>
      </c>
      <c r="I370" s="8" t="s">
        <v>356</v>
      </c>
      <c r="J370" s="8" t="s">
        <v>356</v>
      </c>
      <c r="K370" s="16" t="s">
        <v>356</v>
      </c>
    </row>
    <row r="371" spans="1:11" x14ac:dyDescent="0.35">
      <c r="A371" s="8" t="s">
        <v>305</v>
      </c>
      <c r="B371" s="8">
        <v>8</v>
      </c>
      <c r="C371" s="8" t="s">
        <v>306</v>
      </c>
      <c r="D371" s="8">
        <v>1</v>
      </c>
      <c r="E371" s="8">
        <v>4</v>
      </c>
      <c r="F371" s="8" t="s">
        <v>173</v>
      </c>
      <c r="G371" s="8" t="s">
        <v>249</v>
      </c>
      <c r="H371" s="8" t="str">
        <f t="shared" ca="1" si="9"/>
        <v>(kJ/(kg·°C)</v>
      </c>
      <c r="I371" s="8" t="s">
        <v>308</v>
      </c>
      <c r="J371" s="8" t="s">
        <v>308</v>
      </c>
      <c r="K371" s="16" t="s">
        <v>542</v>
      </c>
    </row>
    <row r="372" spans="1:11" x14ac:dyDescent="0.35">
      <c r="A372" s="8" t="s">
        <v>305</v>
      </c>
      <c r="B372" s="8">
        <v>8</v>
      </c>
      <c r="C372" s="8" t="s">
        <v>306</v>
      </c>
      <c r="D372" s="8">
        <v>1</v>
      </c>
      <c r="E372" s="8">
        <v>4</v>
      </c>
      <c r="F372" s="8" t="s">
        <v>252</v>
      </c>
      <c r="G372" s="8" t="s">
        <v>249</v>
      </c>
      <c r="H372" s="8" t="str">
        <f t="shared" ca="1" si="9"/>
        <v>(kJ/kmol·°C)</v>
      </c>
      <c r="I372" s="8" t="s">
        <v>309</v>
      </c>
      <c r="J372" s="8" t="s">
        <v>309</v>
      </c>
      <c r="K372" s="8" t="s">
        <v>309</v>
      </c>
    </row>
    <row r="373" spans="1:11" x14ac:dyDescent="0.35">
      <c r="A373" s="8" t="s">
        <v>305</v>
      </c>
      <c r="B373" s="8">
        <v>8</v>
      </c>
      <c r="C373" s="8" t="s">
        <v>306</v>
      </c>
      <c r="D373" s="8">
        <v>1</v>
      </c>
      <c r="E373" s="8">
        <v>4</v>
      </c>
      <c r="F373" s="8" t="s">
        <v>253</v>
      </c>
      <c r="G373" s="8" t="s">
        <v>249</v>
      </c>
      <c r="H373" s="8" t="str">
        <f t="shared" ca="1" si="9"/>
        <v>(kJ/(kg·°C)</v>
      </c>
      <c r="I373" s="8" t="s">
        <v>308</v>
      </c>
      <c r="J373" s="8" t="s">
        <v>308</v>
      </c>
      <c r="K373" s="8" t="s">
        <v>308</v>
      </c>
    </row>
    <row r="374" spans="1:11" x14ac:dyDescent="0.35">
      <c r="A374" s="8" t="s">
        <v>305</v>
      </c>
      <c r="B374" s="8">
        <v>8</v>
      </c>
      <c r="C374" s="8" t="s">
        <v>306</v>
      </c>
      <c r="D374" s="8">
        <v>1</v>
      </c>
      <c r="E374" s="8">
        <v>4</v>
      </c>
      <c r="F374" s="8" t="s">
        <v>263</v>
      </c>
      <c r="G374" s="8" t="s">
        <v>249</v>
      </c>
      <c r="H374" s="8" t="str">
        <f t="shared" ca="1" si="9"/>
        <v>(MJ/m3)</v>
      </c>
      <c r="I374" s="8" t="s">
        <v>172</v>
      </c>
      <c r="J374" s="8" t="s">
        <v>172</v>
      </c>
      <c r="K374" s="8" t="s">
        <v>172</v>
      </c>
    </row>
    <row r="375" spans="1:11" x14ac:dyDescent="0.35">
      <c r="A375" s="8" t="s">
        <v>305</v>
      </c>
      <c r="B375" s="8">
        <v>8</v>
      </c>
      <c r="C375" s="8" t="s">
        <v>306</v>
      </c>
      <c r="D375" s="8">
        <v>1</v>
      </c>
      <c r="E375" s="8">
        <v>4</v>
      </c>
      <c r="F375" s="8" t="s">
        <v>264</v>
      </c>
      <c r="G375" s="8" t="s">
        <v>249</v>
      </c>
      <c r="H375" s="8" t="str">
        <f t="shared" ca="1" si="9"/>
        <v>(MJ/kmol)</v>
      </c>
      <c r="I375" s="8" t="s">
        <v>207</v>
      </c>
      <c r="J375" s="8" t="s">
        <v>207</v>
      </c>
      <c r="K375" s="8" t="s">
        <v>207</v>
      </c>
    </row>
    <row r="376" spans="1:11" x14ac:dyDescent="0.35">
      <c r="A376" s="8" t="s">
        <v>305</v>
      </c>
      <c r="B376" s="8">
        <v>8</v>
      </c>
      <c r="C376" s="8" t="s">
        <v>306</v>
      </c>
      <c r="D376" s="8">
        <v>1</v>
      </c>
      <c r="E376" s="8">
        <v>4</v>
      </c>
      <c r="F376" s="8" t="s">
        <v>262</v>
      </c>
      <c r="G376" s="8" t="s">
        <v>249</v>
      </c>
      <c r="H376" s="8" t="str">
        <f t="shared" ca="1" si="9"/>
        <v>(MJ/kmol)</v>
      </c>
      <c r="I376" s="8" t="s">
        <v>207</v>
      </c>
      <c r="J376" s="8" t="s">
        <v>207</v>
      </c>
      <c r="K376" s="8" t="s">
        <v>207</v>
      </c>
    </row>
    <row r="377" spans="1:11" x14ac:dyDescent="0.35">
      <c r="A377" s="8" t="s">
        <v>305</v>
      </c>
      <c r="B377" s="8">
        <v>8</v>
      </c>
      <c r="C377" s="8" t="s">
        <v>306</v>
      </c>
      <c r="D377" s="8">
        <v>1</v>
      </c>
      <c r="E377" s="8">
        <v>4</v>
      </c>
      <c r="F377" s="8" t="s">
        <v>175</v>
      </c>
      <c r="G377" s="8" t="s">
        <v>249</v>
      </c>
      <c r="H377" s="8" t="str">
        <f t="shared" ca="1" si="9"/>
        <v>(GJ/10^3 Nm3)</v>
      </c>
      <c r="I377" s="8" t="s">
        <v>839</v>
      </c>
      <c r="J377" s="8" t="s">
        <v>839</v>
      </c>
      <c r="K377" s="8" t="s">
        <v>839</v>
      </c>
    </row>
    <row r="378" spans="1:11" x14ac:dyDescent="0.35">
      <c r="A378" s="8" t="s">
        <v>305</v>
      </c>
      <c r="B378" s="8">
        <v>8</v>
      </c>
      <c r="C378" s="8" t="s">
        <v>306</v>
      </c>
      <c r="D378" s="8">
        <v>1</v>
      </c>
      <c r="E378" s="8">
        <v>4</v>
      </c>
      <c r="F378" s="8" t="s">
        <v>176</v>
      </c>
      <c r="G378" s="8" t="s">
        <v>249</v>
      </c>
      <c r="H378" s="8" t="str">
        <f t="shared" ca="1" si="9"/>
        <v>(MJ/m3)</v>
      </c>
      <c r="I378" s="8" t="s">
        <v>172</v>
      </c>
      <c r="J378" s="8" t="s">
        <v>172</v>
      </c>
      <c r="K378" s="8" t="s">
        <v>172</v>
      </c>
    </row>
    <row r="379" spans="1:11" x14ac:dyDescent="0.35">
      <c r="A379" s="8" t="s">
        <v>305</v>
      </c>
      <c r="B379" s="8">
        <v>8</v>
      </c>
      <c r="C379" s="8" t="s">
        <v>306</v>
      </c>
      <c r="D379" s="8">
        <v>1</v>
      </c>
      <c r="E379" s="8">
        <v>4</v>
      </c>
      <c r="F379" s="8" t="s">
        <v>265</v>
      </c>
      <c r="G379" s="8" t="s">
        <v>249</v>
      </c>
      <c r="H379" s="8" t="str">
        <f t="shared" ca="1" si="9"/>
        <v>(MJ/kmol)</v>
      </c>
      <c r="I379" s="8" t="s">
        <v>207</v>
      </c>
      <c r="J379" s="8" t="s">
        <v>207</v>
      </c>
      <c r="K379" s="8" t="s">
        <v>207</v>
      </c>
    </row>
    <row r="380" spans="1:11" x14ac:dyDescent="0.35">
      <c r="A380" s="8" t="s">
        <v>305</v>
      </c>
      <c r="B380" s="8">
        <v>8</v>
      </c>
      <c r="C380" s="8" t="s">
        <v>306</v>
      </c>
      <c r="D380" s="8">
        <v>1</v>
      </c>
      <c r="E380" s="8">
        <v>4</v>
      </c>
      <c r="F380" s="8" t="s">
        <v>266</v>
      </c>
      <c r="G380" s="8" t="s">
        <v>249</v>
      </c>
      <c r="H380" s="8" t="str">
        <f t="shared" ca="1" si="9"/>
        <v>(MJ/kmol)</v>
      </c>
      <c r="I380" s="8" t="s">
        <v>207</v>
      </c>
      <c r="J380" s="8" t="s">
        <v>207</v>
      </c>
      <c r="K380" s="8" t="s">
        <v>207</v>
      </c>
    </row>
    <row r="381" spans="1:11" x14ac:dyDescent="0.35">
      <c r="A381" s="8" t="s">
        <v>305</v>
      </c>
      <c r="B381" s="8">
        <v>8</v>
      </c>
      <c r="C381" s="8" t="s">
        <v>306</v>
      </c>
      <c r="D381" s="8">
        <v>1</v>
      </c>
      <c r="E381" s="8">
        <v>4</v>
      </c>
      <c r="F381" s="8" t="s">
        <v>254</v>
      </c>
      <c r="G381" s="8" t="s">
        <v>249</v>
      </c>
      <c r="H381" s="8" t="str">
        <f t="shared" ca="1" si="9"/>
        <v>(GJ/10^3 m3)</v>
      </c>
      <c r="I381" s="8" t="s">
        <v>840</v>
      </c>
      <c r="J381" s="8" t="s">
        <v>840</v>
      </c>
      <c r="K381" s="8" t="s">
        <v>840</v>
      </c>
    </row>
    <row r="382" spans="1:11" x14ac:dyDescent="0.35">
      <c r="A382" s="8" t="s">
        <v>305</v>
      </c>
      <c r="B382" s="8">
        <v>8</v>
      </c>
      <c r="C382" s="8" t="s">
        <v>306</v>
      </c>
      <c r="D382" s="8">
        <v>1</v>
      </c>
      <c r="E382" s="8">
        <v>5</v>
      </c>
      <c r="F382" s="8" t="s">
        <v>241</v>
      </c>
      <c r="G382" s="8" t="s">
        <v>249</v>
      </c>
      <c r="H382" s="8" t="str">
        <f t="shared" ca="1" si="9"/>
        <v>Methane</v>
      </c>
      <c r="I382" s="8" t="s">
        <v>37</v>
      </c>
      <c r="J382" s="8" t="s">
        <v>317</v>
      </c>
      <c r="K382" s="16" t="s">
        <v>543</v>
      </c>
    </row>
    <row r="383" spans="1:11" x14ac:dyDescent="0.35">
      <c r="A383" s="8" t="s">
        <v>305</v>
      </c>
      <c r="B383" s="8">
        <v>8</v>
      </c>
      <c r="C383" s="8" t="s">
        <v>306</v>
      </c>
      <c r="D383" s="8">
        <v>1</v>
      </c>
      <c r="E383" s="8">
        <v>6</v>
      </c>
      <c r="F383" s="8" t="s">
        <v>241</v>
      </c>
      <c r="G383" s="8" t="s">
        <v>248</v>
      </c>
      <c r="H383" s="8" t="str">
        <f t="shared" ca="1" si="9"/>
        <v>Ethane</v>
      </c>
      <c r="I383" s="8" t="s">
        <v>129</v>
      </c>
      <c r="J383" s="8" t="s">
        <v>318</v>
      </c>
      <c r="K383" s="16" t="s">
        <v>544</v>
      </c>
    </row>
    <row r="384" spans="1:11" x14ac:dyDescent="0.35">
      <c r="A384" s="8" t="s">
        <v>305</v>
      </c>
      <c r="B384" s="8">
        <v>8</v>
      </c>
      <c r="C384" s="8" t="s">
        <v>306</v>
      </c>
      <c r="D384" s="8">
        <v>1</v>
      </c>
      <c r="E384" s="8">
        <v>7</v>
      </c>
      <c r="F384" s="8" t="s">
        <v>241</v>
      </c>
      <c r="G384" s="8" t="s">
        <v>248</v>
      </c>
      <c r="H384" s="8" t="str">
        <f t="shared" ca="1" si="9"/>
        <v>Propane</v>
      </c>
      <c r="I384" s="8" t="s">
        <v>130</v>
      </c>
      <c r="J384" s="8" t="s">
        <v>319</v>
      </c>
      <c r="K384" s="16" t="s">
        <v>545</v>
      </c>
    </row>
    <row r="385" spans="1:12" x14ac:dyDescent="0.35">
      <c r="A385" s="8" t="s">
        <v>305</v>
      </c>
      <c r="B385" s="8">
        <v>8</v>
      </c>
      <c r="C385" s="8" t="s">
        <v>306</v>
      </c>
      <c r="D385" s="8">
        <v>1</v>
      </c>
      <c r="E385" s="8">
        <v>8</v>
      </c>
      <c r="F385" s="8" t="s">
        <v>241</v>
      </c>
      <c r="G385" s="8" t="s">
        <v>248</v>
      </c>
      <c r="H385" s="8" t="str">
        <f t="shared" ca="1" si="9"/>
        <v>iso-Butane</v>
      </c>
      <c r="I385" s="8" t="s">
        <v>131</v>
      </c>
      <c r="J385" s="8" t="s">
        <v>320</v>
      </c>
      <c r="K385" s="16" t="s">
        <v>546</v>
      </c>
    </row>
    <row r="386" spans="1:12" x14ac:dyDescent="0.35">
      <c r="A386" s="8" t="s">
        <v>305</v>
      </c>
      <c r="B386" s="8">
        <v>8</v>
      </c>
      <c r="C386" s="8" t="s">
        <v>306</v>
      </c>
      <c r="D386" s="8">
        <v>1</v>
      </c>
      <c r="E386" s="8">
        <v>9</v>
      </c>
      <c r="F386" s="8" t="s">
        <v>241</v>
      </c>
      <c r="G386" s="8" t="s">
        <v>248</v>
      </c>
      <c r="H386" s="8" t="str">
        <f t="shared" ca="1" si="9"/>
        <v>n-Butane</v>
      </c>
      <c r="I386" s="8" t="s">
        <v>441</v>
      </c>
      <c r="J386" s="8" t="s">
        <v>321</v>
      </c>
      <c r="K386" s="16" t="s">
        <v>547</v>
      </c>
    </row>
    <row r="387" spans="1:12" x14ac:dyDescent="0.35">
      <c r="A387" s="8" t="s">
        <v>305</v>
      </c>
      <c r="B387" s="8">
        <v>8</v>
      </c>
      <c r="C387" s="8" t="s">
        <v>306</v>
      </c>
      <c r="D387" s="8">
        <v>1</v>
      </c>
      <c r="E387" s="8">
        <v>10</v>
      </c>
      <c r="F387" s="8" t="s">
        <v>241</v>
      </c>
      <c r="G387" s="8" t="s">
        <v>248</v>
      </c>
      <c r="H387" s="8" t="str">
        <f t="shared" ca="1" si="9"/>
        <v>iso-Pentane</v>
      </c>
      <c r="I387" s="8" t="s">
        <v>132</v>
      </c>
      <c r="J387" s="8" t="s">
        <v>322</v>
      </c>
      <c r="K387" s="16" t="s">
        <v>548</v>
      </c>
    </row>
    <row r="388" spans="1:12" x14ac:dyDescent="0.35">
      <c r="A388" s="8" t="s">
        <v>305</v>
      </c>
      <c r="B388" s="8">
        <v>8</v>
      </c>
      <c r="C388" s="8" t="s">
        <v>306</v>
      </c>
      <c r="D388" s="8">
        <v>1</v>
      </c>
      <c r="E388" s="8">
        <v>11</v>
      </c>
      <c r="F388" s="8" t="s">
        <v>241</v>
      </c>
      <c r="G388" s="8" t="s">
        <v>248</v>
      </c>
      <c r="H388" s="8" t="str">
        <f t="shared" ca="1" si="9"/>
        <v>n-Pentane</v>
      </c>
      <c r="I388" s="8" t="s">
        <v>133</v>
      </c>
      <c r="J388" s="8" t="s">
        <v>323</v>
      </c>
      <c r="K388" s="16" t="s">
        <v>549</v>
      </c>
    </row>
    <row r="389" spans="1:12" x14ac:dyDescent="0.35">
      <c r="A389" s="8" t="s">
        <v>305</v>
      </c>
      <c r="B389" s="8">
        <v>8</v>
      </c>
      <c r="C389" s="8" t="s">
        <v>306</v>
      </c>
      <c r="D389" s="8">
        <v>1</v>
      </c>
      <c r="E389" s="8">
        <v>12</v>
      </c>
      <c r="F389" s="8" t="s">
        <v>241</v>
      </c>
      <c r="G389" s="8" t="s">
        <v>248</v>
      </c>
      <c r="H389" s="8" t="str">
        <f t="shared" ca="1" si="9"/>
        <v>Hexane</v>
      </c>
      <c r="I389" s="8" t="s">
        <v>134</v>
      </c>
      <c r="J389" s="8" t="s">
        <v>324</v>
      </c>
      <c r="K389" s="16" t="s">
        <v>550</v>
      </c>
    </row>
    <row r="390" spans="1:12" x14ac:dyDescent="0.35">
      <c r="A390" s="8" t="s">
        <v>305</v>
      </c>
      <c r="B390" s="8">
        <v>8</v>
      </c>
      <c r="C390" s="8" t="s">
        <v>306</v>
      </c>
      <c r="D390" s="8">
        <v>1</v>
      </c>
      <c r="E390" s="8">
        <v>13</v>
      </c>
      <c r="F390" s="8" t="s">
        <v>241</v>
      </c>
      <c r="G390" s="8" t="s">
        <v>248</v>
      </c>
      <c r="H390" s="8" t="str">
        <f t="shared" ca="1" si="9"/>
        <v>Heptane</v>
      </c>
      <c r="I390" s="8" t="s">
        <v>135</v>
      </c>
      <c r="J390" s="8" t="s">
        <v>325</v>
      </c>
      <c r="K390" s="16" t="s">
        <v>551</v>
      </c>
    </row>
    <row r="391" spans="1:12" x14ac:dyDescent="0.35">
      <c r="A391" s="8" t="s">
        <v>305</v>
      </c>
      <c r="B391" s="8">
        <v>8</v>
      </c>
      <c r="C391" s="8" t="s">
        <v>306</v>
      </c>
      <c r="D391" s="8">
        <v>1</v>
      </c>
      <c r="E391" s="8">
        <v>14</v>
      </c>
      <c r="F391" s="8" t="s">
        <v>241</v>
      </c>
      <c r="G391" s="8" t="s">
        <v>248</v>
      </c>
      <c r="H391" s="8" t="str">
        <f t="shared" ca="1" si="9"/>
        <v>Octane</v>
      </c>
      <c r="I391" s="8" t="s">
        <v>136</v>
      </c>
      <c r="J391" s="8" t="s">
        <v>326</v>
      </c>
      <c r="K391" s="16" t="s">
        <v>552</v>
      </c>
    </row>
    <row r="392" spans="1:12" x14ac:dyDescent="0.35">
      <c r="A392" s="8" t="s">
        <v>305</v>
      </c>
      <c r="B392" s="8">
        <v>8</v>
      </c>
      <c r="C392" s="8" t="s">
        <v>306</v>
      </c>
      <c r="D392" s="8">
        <v>1</v>
      </c>
      <c r="E392" s="8">
        <v>15</v>
      </c>
      <c r="F392" s="8" t="s">
        <v>241</v>
      </c>
      <c r="G392" s="8" t="s">
        <v>248</v>
      </c>
      <c r="H392" s="8" t="str">
        <f t="shared" ca="1" si="9"/>
        <v>Nonane</v>
      </c>
      <c r="I392" s="8" t="s">
        <v>137</v>
      </c>
      <c r="J392" s="8" t="s">
        <v>327</v>
      </c>
      <c r="K392" s="16" t="s">
        <v>553</v>
      </c>
    </row>
    <row r="393" spans="1:12" x14ac:dyDescent="0.35">
      <c r="A393" s="8" t="s">
        <v>305</v>
      </c>
      <c r="B393" s="8">
        <v>8</v>
      </c>
      <c r="C393" s="8" t="s">
        <v>306</v>
      </c>
      <c r="D393" s="8">
        <v>1</v>
      </c>
      <c r="E393" s="8">
        <v>16</v>
      </c>
      <c r="F393" s="8" t="s">
        <v>241</v>
      </c>
      <c r="G393" s="8" t="s">
        <v>248</v>
      </c>
      <c r="H393" s="8" t="str">
        <f t="shared" ca="1" si="9"/>
        <v>Decane</v>
      </c>
      <c r="I393" s="8" t="s">
        <v>138</v>
      </c>
      <c r="J393" s="8" t="s">
        <v>328</v>
      </c>
      <c r="K393" s="16" t="s">
        <v>554</v>
      </c>
    </row>
    <row r="394" spans="1:12" x14ac:dyDescent="0.35">
      <c r="A394" s="8" t="s">
        <v>305</v>
      </c>
      <c r="B394" s="8">
        <v>8</v>
      </c>
      <c r="C394" s="8" t="s">
        <v>306</v>
      </c>
      <c r="D394" s="8">
        <v>1</v>
      </c>
      <c r="E394" s="8">
        <v>17</v>
      </c>
      <c r="F394" s="8" t="s">
        <v>241</v>
      </c>
      <c r="G394" s="8" t="s">
        <v>248</v>
      </c>
      <c r="H394" s="8" t="str">
        <f t="shared" ca="1" si="9"/>
        <v>Hydrogen Sulphide</v>
      </c>
      <c r="I394" s="8" t="s">
        <v>139</v>
      </c>
      <c r="J394" s="8" t="s">
        <v>329</v>
      </c>
      <c r="K394" s="16" t="s">
        <v>555</v>
      </c>
      <c r="L394" s="15"/>
    </row>
    <row r="395" spans="1:12" x14ac:dyDescent="0.35">
      <c r="A395" s="8" t="s">
        <v>305</v>
      </c>
      <c r="B395" s="8">
        <v>8</v>
      </c>
      <c r="C395" s="8" t="s">
        <v>306</v>
      </c>
      <c r="D395" s="8">
        <v>1</v>
      </c>
      <c r="E395" s="8">
        <v>18</v>
      </c>
      <c r="F395" s="8" t="s">
        <v>241</v>
      </c>
      <c r="G395" s="8" t="s">
        <v>248</v>
      </c>
      <c r="H395" s="8" t="str">
        <f t="shared" ca="1" si="9"/>
        <v>Carbon Dioxide</v>
      </c>
      <c r="I395" s="8" t="s">
        <v>116</v>
      </c>
      <c r="J395" s="8" t="s">
        <v>330</v>
      </c>
      <c r="K395" s="16" t="s">
        <v>556</v>
      </c>
    </row>
    <row r="396" spans="1:12" x14ac:dyDescent="0.35">
      <c r="A396" s="8" t="s">
        <v>305</v>
      </c>
      <c r="B396" s="8">
        <v>8</v>
      </c>
      <c r="C396" s="8" t="s">
        <v>306</v>
      </c>
      <c r="D396" s="8">
        <v>1</v>
      </c>
      <c r="E396" s="8">
        <v>19</v>
      </c>
      <c r="F396" s="8" t="s">
        <v>241</v>
      </c>
      <c r="G396" s="8" t="s">
        <v>248</v>
      </c>
      <c r="H396" s="8" t="str">
        <f t="shared" ca="1" si="9"/>
        <v>Nitrogen</v>
      </c>
      <c r="I396" s="8" t="s">
        <v>140</v>
      </c>
      <c r="J396" s="8" t="s">
        <v>331</v>
      </c>
      <c r="K396" s="16" t="s">
        <v>557</v>
      </c>
    </row>
    <row r="397" spans="1:12" x14ac:dyDescent="0.35">
      <c r="A397" s="8" t="s">
        <v>305</v>
      </c>
      <c r="B397" s="8">
        <v>8</v>
      </c>
      <c r="C397" s="8" t="s">
        <v>306</v>
      </c>
      <c r="D397" s="8">
        <v>1</v>
      </c>
      <c r="E397" s="8">
        <v>20</v>
      </c>
      <c r="F397" s="8" t="s">
        <v>241</v>
      </c>
      <c r="G397" s="8" t="s">
        <v>248</v>
      </c>
      <c r="H397" s="8" t="str">
        <f t="shared" ca="1" si="9"/>
        <v>Water</v>
      </c>
      <c r="I397" s="8" t="s">
        <v>196</v>
      </c>
      <c r="J397" s="8" t="s">
        <v>332</v>
      </c>
      <c r="K397" s="16" t="s">
        <v>558</v>
      </c>
    </row>
    <row r="398" spans="1:12" x14ac:dyDescent="0.35">
      <c r="A398" s="8" t="s">
        <v>305</v>
      </c>
      <c r="B398" s="8">
        <v>8</v>
      </c>
      <c r="C398" s="8" t="s">
        <v>306</v>
      </c>
      <c r="D398" s="8">
        <v>1</v>
      </c>
      <c r="E398" s="8">
        <v>21</v>
      </c>
      <c r="F398" s="8" t="s">
        <v>241</v>
      </c>
      <c r="G398" s="8" t="s">
        <v>248</v>
      </c>
      <c r="H398" s="8" t="str">
        <f t="shared" ca="1" si="9"/>
        <v>Sulphur Dioxide</v>
      </c>
      <c r="I398" s="8" t="s">
        <v>197</v>
      </c>
      <c r="J398" s="8" t="s">
        <v>334</v>
      </c>
      <c r="K398" s="16" t="s">
        <v>559</v>
      </c>
    </row>
    <row r="399" spans="1:12" x14ac:dyDescent="0.35">
      <c r="A399" s="8" t="s">
        <v>305</v>
      </c>
      <c r="B399" s="8">
        <v>8</v>
      </c>
      <c r="C399" s="8" t="s">
        <v>306</v>
      </c>
      <c r="D399" s="8">
        <v>1</v>
      </c>
      <c r="E399" s="8">
        <v>22</v>
      </c>
      <c r="F399" s="8" t="s">
        <v>241</v>
      </c>
      <c r="G399" s="8" t="s">
        <v>248</v>
      </c>
      <c r="H399" s="8" t="str">
        <f t="shared" ca="1" si="9"/>
        <v>Oxygen</v>
      </c>
      <c r="I399" s="8" t="s">
        <v>205</v>
      </c>
      <c r="J399" s="8" t="s">
        <v>333</v>
      </c>
      <c r="K399" s="16" t="s">
        <v>560</v>
      </c>
    </row>
    <row r="400" spans="1:12" x14ac:dyDescent="0.35">
      <c r="A400" s="8" t="s">
        <v>305</v>
      </c>
      <c r="B400" s="8">
        <v>8</v>
      </c>
      <c r="C400" s="8" t="s">
        <v>306</v>
      </c>
      <c r="D400" s="8">
        <v>1</v>
      </c>
      <c r="E400" s="8">
        <v>22</v>
      </c>
      <c r="F400" s="8" t="s">
        <v>241</v>
      </c>
      <c r="G400" s="8" t="s">
        <v>248</v>
      </c>
      <c r="H400" s="8" t="str">
        <f t="shared" ca="1" si="9"/>
        <v>Carbon Monoxide</v>
      </c>
      <c r="I400" s="8" t="s">
        <v>1210</v>
      </c>
      <c r="J400" s="8" t="s">
        <v>1210</v>
      </c>
      <c r="K400" s="16" t="s">
        <v>1210</v>
      </c>
    </row>
    <row r="401" spans="1:11" x14ac:dyDescent="0.35">
      <c r="A401" s="8" t="s">
        <v>305</v>
      </c>
      <c r="B401" s="8">
        <v>8</v>
      </c>
      <c r="C401" s="8" t="s">
        <v>306</v>
      </c>
      <c r="D401" s="8">
        <v>1</v>
      </c>
      <c r="E401" s="8">
        <v>22</v>
      </c>
      <c r="F401" s="8" t="s">
        <v>241</v>
      </c>
      <c r="G401" s="8" t="s">
        <v>248</v>
      </c>
      <c r="H401" s="8" t="str">
        <f t="shared" ca="1" si="9"/>
        <v>Nitrous Oxide</v>
      </c>
      <c r="I401" s="8" t="s">
        <v>1211</v>
      </c>
      <c r="J401" s="8" t="s">
        <v>1211</v>
      </c>
      <c r="K401" s="16" t="s">
        <v>1211</v>
      </c>
    </row>
    <row r="402" spans="1:11" x14ac:dyDescent="0.35">
      <c r="A402" s="8" t="s">
        <v>305</v>
      </c>
      <c r="B402" s="8">
        <v>8</v>
      </c>
      <c r="C402" s="8" t="s">
        <v>306</v>
      </c>
      <c r="D402" s="8">
        <v>1</v>
      </c>
      <c r="E402" s="8">
        <v>22</v>
      </c>
      <c r="F402" s="8" t="s">
        <v>241</v>
      </c>
      <c r="G402" s="8" t="s">
        <v>248</v>
      </c>
      <c r="H402" s="8" t="str">
        <f t="shared" ca="1" si="9"/>
        <v>Oxides of Nitrogen</v>
      </c>
      <c r="I402" s="8" t="s">
        <v>1212</v>
      </c>
      <c r="J402" s="8" t="s">
        <v>1212</v>
      </c>
      <c r="K402" s="16" t="s">
        <v>1212</v>
      </c>
    </row>
    <row r="403" spans="1:11" x14ac:dyDescent="0.35">
      <c r="A403" s="8" t="s">
        <v>305</v>
      </c>
      <c r="B403" s="8">
        <v>8</v>
      </c>
      <c r="C403" s="8" t="s">
        <v>306</v>
      </c>
      <c r="D403" s="8">
        <v>1</v>
      </c>
      <c r="E403" s="8">
        <v>22</v>
      </c>
      <c r="F403" s="8" t="s">
        <v>241</v>
      </c>
      <c r="G403" s="8" t="s">
        <v>248</v>
      </c>
      <c r="H403" s="8" t="str">
        <f t="shared" ca="1" si="9"/>
        <v>Non-Methane VOC</v>
      </c>
      <c r="I403" s="8" t="s">
        <v>1213</v>
      </c>
      <c r="J403" s="8" t="s">
        <v>1213</v>
      </c>
      <c r="K403" s="16" t="s">
        <v>1213</v>
      </c>
    </row>
    <row r="404" spans="1:11" x14ac:dyDescent="0.35">
      <c r="A404" s="8" t="s">
        <v>305</v>
      </c>
      <c r="B404" s="8">
        <v>8</v>
      </c>
      <c r="C404" s="8" t="s">
        <v>306</v>
      </c>
      <c r="D404" s="8">
        <v>1</v>
      </c>
      <c r="E404" s="8">
        <v>22</v>
      </c>
      <c r="F404" s="8" t="s">
        <v>241</v>
      </c>
      <c r="G404" s="8" t="s">
        <v>248</v>
      </c>
      <c r="H404" s="8" t="str">
        <f t="shared" ca="1" si="9"/>
        <v>CO</v>
      </c>
      <c r="I404" s="8" t="s">
        <v>1176</v>
      </c>
      <c r="J404" s="8" t="s">
        <v>1176</v>
      </c>
      <c r="K404" s="16" t="s">
        <v>1176</v>
      </c>
    </row>
    <row r="405" spans="1:11" x14ac:dyDescent="0.35">
      <c r="A405" s="8" t="s">
        <v>305</v>
      </c>
      <c r="B405" s="8">
        <v>8</v>
      </c>
      <c r="C405" s="8" t="s">
        <v>306</v>
      </c>
      <c r="D405" s="8">
        <v>1</v>
      </c>
      <c r="E405" s="8">
        <v>22</v>
      </c>
      <c r="F405" s="8" t="s">
        <v>241</v>
      </c>
      <c r="G405" s="8" t="s">
        <v>248</v>
      </c>
      <c r="H405" s="8" t="str">
        <f t="shared" ca="1" si="9"/>
        <v>N2O</v>
      </c>
      <c r="I405" s="8" t="s">
        <v>164</v>
      </c>
      <c r="J405" s="8" t="s">
        <v>164</v>
      </c>
      <c r="K405" s="16" t="s">
        <v>164</v>
      </c>
    </row>
    <row r="406" spans="1:11" x14ac:dyDescent="0.35">
      <c r="A406" s="8" t="s">
        <v>305</v>
      </c>
      <c r="B406" s="8">
        <v>8</v>
      </c>
      <c r="C406" s="8" t="s">
        <v>306</v>
      </c>
      <c r="D406" s="8">
        <v>1</v>
      </c>
      <c r="E406" s="8">
        <v>22</v>
      </c>
      <c r="F406" s="8" t="s">
        <v>241</v>
      </c>
      <c r="G406" s="8" t="s">
        <v>248</v>
      </c>
      <c r="H406" s="8" t="str">
        <f t="shared" ca="1" si="9"/>
        <v>NOx</v>
      </c>
      <c r="I406" s="8" t="s">
        <v>1175</v>
      </c>
      <c r="J406" s="8" t="s">
        <v>1175</v>
      </c>
      <c r="K406" s="16" t="s">
        <v>1175</v>
      </c>
    </row>
    <row r="407" spans="1:11" x14ac:dyDescent="0.35">
      <c r="A407" s="8" t="s">
        <v>305</v>
      </c>
      <c r="B407" s="8">
        <v>8</v>
      </c>
      <c r="C407" s="8" t="s">
        <v>306</v>
      </c>
      <c r="D407" s="8">
        <v>1</v>
      </c>
      <c r="E407" s="8">
        <v>22</v>
      </c>
      <c r="F407" s="8" t="s">
        <v>241</v>
      </c>
      <c r="G407" s="8" t="s">
        <v>248</v>
      </c>
      <c r="H407" s="8" t="str">
        <f t="shared" ca="1" si="9"/>
        <v>NMVOC</v>
      </c>
      <c r="I407" s="8" t="s">
        <v>1027</v>
      </c>
      <c r="J407" s="8" t="s">
        <v>1027</v>
      </c>
      <c r="K407" s="16" t="s">
        <v>1027</v>
      </c>
    </row>
    <row r="408" spans="1:11" x14ac:dyDescent="0.35">
      <c r="A408" s="8" t="s">
        <v>305</v>
      </c>
      <c r="B408" s="8">
        <v>8</v>
      </c>
      <c r="C408" s="8" t="s">
        <v>310</v>
      </c>
      <c r="D408" s="8">
        <v>2</v>
      </c>
      <c r="E408" s="8">
        <v>24</v>
      </c>
      <c r="F408" s="8" t="s">
        <v>241</v>
      </c>
      <c r="G408" s="8" t="s">
        <v>242</v>
      </c>
      <c r="H408" s="8" t="str">
        <f t="shared" ca="1" si="9"/>
        <v>Miscellaneous Constants</v>
      </c>
      <c r="I408" s="8" t="s">
        <v>310</v>
      </c>
      <c r="J408" s="8" t="s">
        <v>351</v>
      </c>
      <c r="K408" s="16" t="s">
        <v>561</v>
      </c>
    </row>
    <row r="409" spans="1:11" x14ac:dyDescent="0.35">
      <c r="A409" s="8" t="s">
        <v>305</v>
      </c>
      <c r="B409" s="8">
        <v>8</v>
      </c>
      <c r="C409" s="8" t="s">
        <v>310</v>
      </c>
      <c r="D409" s="8">
        <v>2</v>
      </c>
      <c r="E409" s="8">
        <v>26</v>
      </c>
      <c r="F409" s="8" t="s">
        <v>241</v>
      </c>
      <c r="G409" s="8" t="s">
        <v>248</v>
      </c>
      <c r="H409" s="8" t="str">
        <f t="shared" ca="1" si="9"/>
        <v>Standard Temperature</v>
      </c>
      <c r="I409" s="8" t="s">
        <v>40</v>
      </c>
      <c r="J409" s="8" t="s">
        <v>338</v>
      </c>
      <c r="K409" s="16" t="s">
        <v>562</v>
      </c>
    </row>
    <row r="410" spans="1:11" x14ac:dyDescent="0.35">
      <c r="A410" s="8" t="s">
        <v>305</v>
      </c>
      <c r="B410" s="8">
        <v>8</v>
      </c>
      <c r="C410" s="8" t="s">
        <v>310</v>
      </c>
      <c r="D410" s="8">
        <v>2</v>
      </c>
      <c r="E410" s="8">
        <v>26</v>
      </c>
      <c r="F410" s="8" t="s">
        <v>27</v>
      </c>
      <c r="G410" s="8" t="s">
        <v>260</v>
      </c>
      <c r="H410" s="8" t="str">
        <f t="shared" ca="1" si="9"/>
        <v>°C</v>
      </c>
      <c r="I410" s="2" t="s">
        <v>118</v>
      </c>
      <c r="J410" s="2" t="s">
        <v>118</v>
      </c>
      <c r="K410" s="16" t="s">
        <v>118</v>
      </c>
    </row>
    <row r="411" spans="1:11" x14ac:dyDescent="0.35">
      <c r="A411" s="8" t="s">
        <v>305</v>
      </c>
      <c r="B411" s="8">
        <v>8</v>
      </c>
      <c r="C411" s="8" t="s">
        <v>310</v>
      </c>
      <c r="D411" s="8">
        <v>2</v>
      </c>
      <c r="E411" s="8">
        <v>27</v>
      </c>
      <c r="F411" s="8" t="s">
        <v>241</v>
      </c>
      <c r="G411" s="8" t="s">
        <v>248</v>
      </c>
      <c r="H411" s="8" t="str">
        <f t="shared" ca="1" si="9"/>
        <v>Standard Pressure</v>
      </c>
      <c r="I411" s="8" t="s">
        <v>41</v>
      </c>
      <c r="J411" s="8" t="s">
        <v>339</v>
      </c>
      <c r="K411" s="16" t="s">
        <v>563</v>
      </c>
    </row>
    <row r="412" spans="1:11" x14ac:dyDescent="0.35">
      <c r="A412" s="8" t="s">
        <v>305</v>
      </c>
      <c r="B412" s="8">
        <v>8</v>
      </c>
      <c r="C412" s="8" t="s">
        <v>310</v>
      </c>
      <c r="D412" s="8">
        <v>2</v>
      </c>
      <c r="E412" s="8">
        <v>27</v>
      </c>
      <c r="F412" s="8" t="s">
        <v>27</v>
      </c>
      <c r="G412" s="8" t="s">
        <v>260</v>
      </c>
      <c r="H412" s="8" t="str">
        <f t="shared" ca="1" si="9"/>
        <v>kPa</v>
      </c>
      <c r="I412" s="8" t="s">
        <v>42</v>
      </c>
      <c r="J412" s="8" t="s">
        <v>42</v>
      </c>
      <c r="K412" s="16" t="s">
        <v>42</v>
      </c>
    </row>
    <row r="413" spans="1:11" x14ac:dyDescent="0.35">
      <c r="A413" s="8" t="s">
        <v>305</v>
      </c>
      <c r="B413" s="8">
        <v>8</v>
      </c>
      <c r="C413" s="8" t="s">
        <v>310</v>
      </c>
      <c r="D413" s="8">
        <v>2</v>
      </c>
      <c r="E413" s="8">
        <v>28</v>
      </c>
      <c r="F413" s="8" t="s">
        <v>241</v>
      </c>
      <c r="G413" s="8" t="s">
        <v>248</v>
      </c>
      <c r="H413" s="8" t="str">
        <f t="shared" ca="1" si="9"/>
        <v>Standard Volume</v>
      </c>
      <c r="I413" s="8" t="s">
        <v>98</v>
      </c>
      <c r="J413" s="8" t="s">
        <v>340</v>
      </c>
      <c r="K413" s="16" t="s">
        <v>564</v>
      </c>
    </row>
    <row r="414" spans="1:11" x14ac:dyDescent="0.35">
      <c r="A414" s="8" t="s">
        <v>305</v>
      </c>
      <c r="B414" s="8">
        <v>8</v>
      </c>
      <c r="C414" s="8" t="s">
        <v>310</v>
      </c>
      <c r="D414" s="8">
        <v>2</v>
      </c>
      <c r="E414" s="8">
        <v>28</v>
      </c>
      <c r="F414" s="8" t="s">
        <v>27</v>
      </c>
      <c r="G414" s="8" t="s">
        <v>260</v>
      </c>
      <c r="H414" s="8" t="str">
        <f t="shared" ca="1" si="9"/>
        <v>m3/kmol</v>
      </c>
      <c r="I414" s="8" t="s">
        <v>99</v>
      </c>
      <c r="J414" s="8" t="s">
        <v>341</v>
      </c>
      <c r="K414" s="16" t="s">
        <v>99</v>
      </c>
    </row>
    <row r="415" spans="1:11" x14ac:dyDescent="0.35">
      <c r="A415" s="8" t="s">
        <v>305</v>
      </c>
      <c r="B415" s="8">
        <v>8</v>
      </c>
      <c r="C415" s="8" t="s">
        <v>310</v>
      </c>
      <c r="D415" s="8">
        <v>2</v>
      </c>
      <c r="E415" s="8">
        <v>29</v>
      </c>
      <c r="F415" s="8" t="s">
        <v>241</v>
      </c>
      <c r="G415" s="8" t="s">
        <v>248</v>
      </c>
      <c r="H415" s="8" t="str">
        <f t="shared" ca="1" si="9"/>
        <v>Gas Constant</v>
      </c>
      <c r="I415" s="8" t="s">
        <v>193</v>
      </c>
      <c r="J415" s="8" t="s">
        <v>342</v>
      </c>
      <c r="K415" s="16" t="s">
        <v>565</v>
      </c>
    </row>
    <row r="416" spans="1:11" ht="16.5" x14ac:dyDescent="0.35">
      <c r="A416" s="8" t="s">
        <v>305</v>
      </c>
      <c r="B416" s="8">
        <v>8</v>
      </c>
      <c r="C416" s="8" t="s">
        <v>310</v>
      </c>
      <c r="D416" s="8">
        <v>2</v>
      </c>
      <c r="E416" s="8">
        <v>29</v>
      </c>
      <c r="F416" s="8" t="s">
        <v>27</v>
      </c>
      <c r="G416" s="8" t="s">
        <v>260</v>
      </c>
      <c r="H416" s="8" t="str">
        <f t="shared" ca="1" si="9"/>
        <v>m3·kPa·kmole-1·°K-1</v>
      </c>
      <c r="I416" s="8" t="s">
        <v>311</v>
      </c>
      <c r="J416" s="8" t="s">
        <v>311</v>
      </c>
      <c r="K416" s="16" t="s">
        <v>566</v>
      </c>
    </row>
    <row r="417" spans="1:11" x14ac:dyDescent="0.35">
      <c r="A417" s="8" t="s">
        <v>305</v>
      </c>
      <c r="B417" s="8">
        <v>8</v>
      </c>
      <c r="C417" s="8" t="s">
        <v>306</v>
      </c>
      <c r="D417" s="8">
        <v>2</v>
      </c>
      <c r="E417" s="8">
        <v>24</v>
      </c>
      <c r="F417" s="8" t="s">
        <v>241</v>
      </c>
      <c r="G417" s="8" t="s">
        <v>242</v>
      </c>
      <c r="H417" s="8" t="str">
        <f t="shared" ca="1" si="9"/>
        <v>Atomic Data</v>
      </c>
      <c r="I417" s="8" t="s">
        <v>1214</v>
      </c>
      <c r="J417" s="8" t="s">
        <v>1214</v>
      </c>
      <c r="K417" s="16" t="s">
        <v>1214</v>
      </c>
    </row>
    <row r="418" spans="1:11" x14ac:dyDescent="0.35">
      <c r="A418" s="8" t="s">
        <v>305</v>
      </c>
      <c r="B418" s="8">
        <v>8</v>
      </c>
      <c r="C418" s="8" t="s">
        <v>306</v>
      </c>
      <c r="D418" s="8">
        <v>2</v>
      </c>
      <c r="E418" s="8">
        <v>24</v>
      </c>
      <c r="F418" s="8" t="s">
        <v>241</v>
      </c>
      <c r="G418" s="8" t="s">
        <v>242</v>
      </c>
      <c r="H418" s="8" t="str">
        <f t="shared" ca="1" si="9"/>
        <v>Name</v>
      </c>
      <c r="I418" s="8" t="s">
        <v>34</v>
      </c>
      <c r="J418" s="8" t="s">
        <v>34</v>
      </c>
      <c r="K418" s="16" t="s">
        <v>34</v>
      </c>
    </row>
    <row r="419" spans="1:11" x14ac:dyDescent="0.35">
      <c r="A419" s="8" t="s">
        <v>305</v>
      </c>
      <c r="B419" s="8">
        <v>8</v>
      </c>
      <c r="C419" s="8" t="s">
        <v>306</v>
      </c>
      <c r="D419" s="8">
        <v>2</v>
      </c>
      <c r="E419" s="8">
        <v>24</v>
      </c>
      <c r="F419" s="8" t="s">
        <v>241</v>
      </c>
      <c r="G419" s="8" t="s">
        <v>242</v>
      </c>
      <c r="H419" s="8" t="str">
        <f t="shared" ca="1" si="9"/>
        <v>Atomic Mass</v>
      </c>
      <c r="I419" s="8" t="s">
        <v>1215</v>
      </c>
      <c r="J419" s="8"/>
      <c r="K419" s="16"/>
    </row>
    <row r="420" spans="1:11" x14ac:dyDescent="0.35">
      <c r="A420" s="8" t="s">
        <v>305</v>
      </c>
      <c r="B420" s="8">
        <v>8</v>
      </c>
      <c r="C420" s="8" t="s">
        <v>306</v>
      </c>
      <c r="D420" s="8">
        <v>2</v>
      </c>
      <c r="E420" s="8">
        <v>24</v>
      </c>
      <c r="F420" s="8" t="s">
        <v>241</v>
      </c>
      <c r="G420" s="8" t="s">
        <v>242</v>
      </c>
      <c r="H420" s="8" t="str">
        <f t="shared" ca="1" si="9"/>
        <v>Carbon</v>
      </c>
      <c r="I420" s="8" t="s">
        <v>1216</v>
      </c>
      <c r="J420" s="8" t="s">
        <v>1216</v>
      </c>
      <c r="K420" s="8" t="s">
        <v>1216</v>
      </c>
    </row>
    <row r="421" spans="1:11" x14ac:dyDescent="0.35">
      <c r="A421" s="8" t="s">
        <v>305</v>
      </c>
      <c r="B421" s="8">
        <v>8</v>
      </c>
      <c r="C421" s="8" t="s">
        <v>306</v>
      </c>
      <c r="D421" s="8">
        <v>2</v>
      </c>
      <c r="E421" s="8">
        <v>24</v>
      </c>
      <c r="F421" s="8" t="s">
        <v>241</v>
      </c>
      <c r="G421" s="8" t="s">
        <v>242</v>
      </c>
      <c r="H421" s="8" t="str">
        <f t="shared" ca="1" si="9"/>
        <v>Hydrogen</v>
      </c>
      <c r="I421" s="8" t="s">
        <v>1217</v>
      </c>
      <c r="J421" s="8" t="s">
        <v>1217</v>
      </c>
      <c r="K421" s="8" t="s">
        <v>1217</v>
      </c>
    </row>
    <row r="422" spans="1:11" x14ac:dyDescent="0.35">
      <c r="A422" s="8" t="s">
        <v>305</v>
      </c>
      <c r="B422" s="8">
        <v>8</v>
      </c>
      <c r="C422" s="8" t="s">
        <v>306</v>
      </c>
      <c r="D422" s="8">
        <v>2</v>
      </c>
      <c r="E422" s="8">
        <v>24</v>
      </c>
      <c r="F422" s="8" t="s">
        <v>241</v>
      </c>
      <c r="G422" s="8" t="s">
        <v>242</v>
      </c>
      <c r="H422" s="8" t="str">
        <f t="shared" ca="1" si="9"/>
        <v>Oxygen</v>
      </c>
      <c r="I422" s="8" t="s">
        <v>205</v>
      </c>
      <c r="J422" s="8" t="s">
        <v>205</v>
      </c>
      <c r="K422" s="8" t="s">
        <v>205</v>
      </c>
    </row>
    <row r="423" spans="1:11" x14ac:dyDescent="0.35">
      <c r="A423" s="8" t="s">
        <v>305</v>
      </c>
      <c r="B423" s="8">
        <v>8</v>
      </c>
      <c r="C423" s="8" t="s">
        <v>306</v>
      </c>
      <c r="D423" s="8">
        <v>2</v>
      </c>
      <c r="E423" s="8">
        <v>24</v>
      </c>
      <c r="F423" s="8" t="s">
        <v>241</v>
      </c>
      <c r="G423" s="8" t="s">
        <v>242</v>
      </c>
      <c r="H423" s="8" t="str">
        <f t="shared" ca="1" si="9"/>
        <v>Nitrogen</v>
      </c>
      <c r="I423" s="8" t="s">
        <v>140</v>
      </c>
      <c r="J423" s="8" t="s">
        <v>140</v>
      </c>
      <c r="K423" s="8" t="s">
        <v>140</v>
      </c>
    </row>
    <row r="424" spans="1:11" x14ac:dyDescent="0.35">
      <c r="A424" s="8" t="s">
        <v>305</v>
      </c>
      <c r="B424" s="8">
        <v>8</v>
      </c>
      <c r="C424" s="8" t="s">
        <v>306</v>
      </c>
      <c r="D424" s="8">
        <v>2</v>
      </c>
      <c r="E424" s="8">
        <v>24</v>
      </c>
      <c r="F424" s="8" t="s">
        <v>241</v>
      </c>
      <c r="G424" s="8" t="s">
        <v>242</v>
      </c>
      <c r="H424" s="8" t="str">
        <f t="shared" ca="1" si="9"/>
        <v>Sulphur</v>
      </c>
      <c r="I424" s="8" t="s">
        <v>1218</v>
      </c>
      <c r="J424" s="8" t="s">
        <v>1218</v>
      </c>
      <c r="K424" s="8" t="s">
        <v>1218</v>
      </c>
    </row>
    <row r="425" spans="1:11" x14ac:dyDescent="0.35">
      <c r="A425" s="8" t="s">
        <v>305</v>
      </c>
      <c r="B425" s="8">
        <v>8</v>
      </c>
      <c r="C425" s="8" t="s">
        <v>306</v>
      </c>
      <c r="D425" s="8">
        <v>2</v>
      </c>
      <c r="E425" s="8">
        <v>24</v>
      </c>
      <c r="F425" s="8" t="s">
        <v>241</v>
      </c>
      <c r="G425" s="8" t="s">
        <v>242</v>
      </c>
      <c r="H425" s="8" t="str">
        <f t="shared" ca="1" si="9"/>
        <v>C</v>
      </c>
      <c r="I425" s="8" t="s">
        <v>27</v>
      </c>
      <c r="J425" s="8" t="s">
        <v>27</v>
      </c>
      <c r="K425" s="8" t="s">
        <v>27</v>
      </c>
    </row>
    <row r="426" spans="1:11" x14ac:dyDescent="0.35">
      <c r="A426" s="8" t="s">
        <v>305</v>
      </c>
      <c r="B426" s="8">
        <v>8</v>
      </c>
      <c r="C426" s="8" t="s">
        <v>306</v>
      </c>
      <c r="D426" s="8">
        <v>2</v>
      </c>
      <c r="E426" s="8">
        <v>24</v>
      </c>
      <c r="F426" s="8" t="s">
        <v>241</v>
      </c>
      <c r="G426" s="8" t="s">
        <v>242</v>
      </c>
      <c r="H426" s="8" t="str">
        <f t="shared" ca="1" si="9"/>
        <v>H</v>
      </c>
      <c r="I426" s="8" t="s">
        <v>173</v>
      </c>
      <c r="J426" s="8" t="s">
        <v>173</v>
      </c>
      <c r="K426" s="8" t="s">
        <v>173</v>
      </c>
    </row>
    <row r="427" spans="1:11" x14ac:dyDescent="0.35">
      <c r="A427" s="8" t="s">
        <v>305</v>
      </c>
      <c r="B427" s="8">
        <v>8</v>
      </c>
      <c r="C427" s="8" t="s">
        <v>306</v>
      </c>
      <c r="D427" s="8">
        <v>2</v>
      </c>
      <c r="E427" s="8">
        <v>24</v>
      </c>
      <c r="F427" s="8" t="s">
        <v>241</v>
      </c>
      <c r="G427" s="8" t="s">
        <v>242</v>
      </c>
      <c r="H427" s="8" t="str">
        <f t="shared" ca="1" si="9"/>
        <v>O</v>
      </c>
      <c r="I427" s="8" t="s">
        <v>176</v>
      </c>
      <c r="J427" s="8" t="s">
        <v>176</v>
      </c>
      <c r="K427" s="8" t="s">
        <v>176</v>
      </c>
    </row>
    <row r="428" spans="1:11" x14ac:dyDescent="0.35">
      <c r="A428" s="8" t="s">
        <v>305</v>
      </c>
      <c r="B428" s="8">
        <v>8</v>
      </c>
      <c r="C428" s="8" t="s">
        <v>306</v>
      </c>
      <c r="D428" s="8">
        <v>2</v>
      </c>
      <c r="E428" s="8">
        <v>24</v>
      </c>
      <c r="F428" s="8" t="s">
        <v>241</v>
      </c>
      <c r="G428" s="8" t="s">
        <v>242</v>
      </c>
      <c r="H428" s="8" t="str">
        <f t="shared" ca="1" si="9"/>
        <v>N</v>
      </c>
      <c r="I428" s="8" t="s">
        <v>175</v>
      </c>
      <c r="J428" s="8" t="s">
        <v>175</v>
      </c>
      <c r="K428" s="8" t="s">
        <v>175</v>
      </c>
    </row>
    <row r="429" spans="1:11" x14ac:dyDescent="0.35">
      <c r="A429" s="8" t="s">
        <v>305</v>
      </c>
      <c r="B429" s="8">
        <v>8</v>
      </c>
      <c r="C429" s="8" t="s">
        <v>306</v>
      </c>
      <c r="D429" s="8">
        <v>2</v>
      </c>
      <c r="E429" s="8">
        <v>24</v>
      </c>
      <c r="F429" s="8" t="s">
        <v>241</v>
      </c>
      <c r="G429" s="8" t="s">
        <v>242</v>
      </c>
      <c r="H429" s="8" t="str">
        <f t="shared" ca="1" si="9"/>
        <v>S</v>
      </c>
      <c r="I429" s="8" t="s">
        <v>174</v>
      </c>
      <c r="J429" s="8" t="s">
        <v>174</v>
      </c>
      <c r="K429" s="8" t="s">
        <v>174</v>
      </c>
    </row>
    <row r="430" spans="1:11" x14ac:dyDescent="0.35">
      <c r="A430" s="8" t="s">
        <v>375</v>
      </c>
      <c r="B430" s="8">
        <v>9</v>
      </c>
      <c r="C430" s="8" t="s">
        <v>85</v>
      </c>
      <c r="D430" s="8">
        <v>1</v>
      </c>
      <c r="E430" s="8">
        <v>1</v>
      </c>
      <c r="F430" s="8" t="s">
        <v>243</v>
      </c>
      <c r="G430" s="8" t="s">
        <v>242</v>
      </c>
      <c r="H430" s="8" t="str">
        <f t="shared" ca="1" si="9"/>
        <v>Conversion Factor Look-up Table</v>
      </c>
      <c r="I430" s="8" t="s">
        <v>85</v>
      </c>
      <c r="J430" s="8" t="s">
        <v>416</v>
      </c>
      <c r="K430" s="16" t="s">
        <v>567</v>
      </c>
    </row>
    <row r="431" spans="1:11" x14ac:dyDescent="0.35">
      <c r="A431" s="8" t="s">
        <v>375</v>
      </c>
      <c r="B431" s="8">
        <v>9</v>
      </c>
      <c r="C431" s="8" t="s">
        <v>85</v>
      </c>
      <c r="D431" s="8">
        <v>1</v>
      </c>
      <c r="E431" s="8">
        <v>26</v>
      </c>
      <c r="F431" s="8" t="s">
        <v>243</v>
      </c>
      <c r="G431" s="8" t="s">
        <v>260</v>
      </c>
      <c r="H431" s="8" t="str">
        <f t="shared" ca="1" si="9"/>
        <v>Important: Data in the above table must be sorted alphabetically based on Column E.</v>
      </c>
      <c r="I431" s="8" t="s">
        <v>19</v>
      </c>
      <c r="J431" s="8" t="s">
        <v>417</v>
      </c>
      <c r="K431" s="16" t="s">
        <v>568</v>
      </c>
    </row>
    <row r="432" spans="1:11" x14ac:dyDescent="0.35">
      <c r="A432" s="8" t="s">
        <v>375</v>
      </c>
      <c r="B432" s="8">
        <v>9</v>
      </c>
      <c r="C432" s="8" t="s">
        <v>85</v>
      </c>
      <c r="D432" s="8">
        <v>1</v>
      </c>
      <c r="E432" s="8">
        <v>3</v>
      </c>
      <c r="F432" s="8" t="s">
        <v>243</v>
      </c>
      <c r="G432" s="8" t="s">
        <v>249</v>
      </c>
      <c r="H432" s="8" t="str">
        <f t="shared" ca="1" si="9"/>
        <v>From</v>
      </c>
      <c r="I432" s="8" t="s">
        <v>8</v>
      </c>
      <c r="J432" s="2" t="s">
        <v>421</v>
      </c>
      <c r="K432" s="16" t="s">
        <v>569</v>
      </c>
    </row>
    <row r="433" spans="1:11" x14ac:dyDescent="0.35">
      <c r="A433" s="8" t="s">
        <v>375</v>
      </c>
      <c r="B433" s="8">
        <v>9</v>
      </c>
      <c r="C433" s="8" t="s">
        <v>85</v>
      </c>
      <c r="D433" s="8">
        <v>1</v>
      </c>
      <c r="E433" s="8">
        <v>3</v>
      </c>
      <c r="F433" s="8" t="s">
        <v>27</v>
      </c>
      <c r="G433" s="8" t="s">
        <v>249</v>
      </c>
      <c r="H433" s="8" t="str">
        <f t="shared" ca="1" si="9"/>
        <v>To</v>
      </c>
      <c r="I433" s="8" t="s">
        <v>9</v>
      </c>
      <c r="J433" s="2" t="s">
        <v>422</v>
      </c>
      <c r="K433" s="16" t="s">
        <v>570</v>
      </c>
    </row>
    <row r="434" spans="1:11" x14ac:dyDescent="0.35">
      <c r="A434" s="8" t="s">
        <v>375</v>
      </c>
      <c r="B434" s="8">
        <v>9</v>
      </c>
      <c r="C434" s="8" t="s">
        <v>85</v>
      </c>
      <c r="D434" s="8">
        <v>1</v>
      </c>
      <c r="E434" s="8">
        <v>3</v>
      </c>
      <c r="F434" s="8" t="s">
        <v>245</v>
      </c>
      <c r="G434" s="8" t="s">
        <v>249</v>
      </c>
      <c r="H434" s="8" t="str">
        <f t="shared" ca="1" si="9"/>
        <v>Conversion Factor</v>
      </c>
      <c r="I434" s="8" t="s">
        <v>7</v>
      </c>
      <c r="J434" s="2" t="s">
        <v>423</v>
      </c>
      <c r="K434" s="16" t="s">
        <v>526</v>
      </c>
    </row>
    <row r="435" spans="1:11" x14ac:dyDescent="0.35">
      <c r="A435" s="8" t="s">
        <v>375</v>
      </c>
      <c r="B435" s="8">
        <v>9</v>
      </c>
      <c r="C435" s="8" t="s">
        <v>85</v>
      </c>
      <c r="D435" s="8">
        <v>1</v>
      </c>
      <c r="E435" s="8">
        <v>4</v>
      </c>
      <c r="F435" s="8" t="s">
        <v>245</v>
      </c>
      <c r="G435" s="8" t="s">
        <v>249</v>
      </c>
      <c r="H435" s="8" t="str">
        <f t="shared" ca="1" si="9"/>
        <v>Value</v>
      </c>
      <c r="I435" s="8" t="s">
        <v>1</v>
      </c>
      <c r="J435" s="2" t="s">
        <v>424</v>
      </c>
      <c r="K435" s="16" t="s">
        <v>480</v>
      </c>
    </row>
    <row r="436" spans="1:11" x14ac:dyDescent="0.35">
      <c r="A436" s="8" t="s">
        <v>375</v>
      </c>
      <c r="B436" s="8">
        <v>9</v>
      </c>
      <c r="C436" s="8" t="s">
        <v>85</v>
      </c>
      <c r="D436" s="8">
        <v>1</v>
      </c>
      <c r="E436" s="8">
        <v>4</v>
      </c>
      <c r="F436" s="8" t="s">
        <v>246</v>
      </c>
      <c r="G436" s="8" t="s">
        <v>249</v>
      </c>
      <c r="H436" s="8" t="str">
        <f t="shared" ca="1" si="9"/>
        <v>Descriptor</v>
      </c>
      <c r="I436" s="8" t="s">
        <v>10</v>
      </c>
      <c r="J436" s="2" t="s">
        <v>425</v>
      </c>
      <c r="K436" s="16" t="s">
        <v>10</v>
      </c>
    </row>
    <row r="437" spans="1:11" x14ac:dyDescent="0.35">
      <c r="A437" s="8" t="s">
        <v>375</v>
      </c>
      <c r="B437" s="8">
        <v>9</v>
      </c>
      <c r="C437" s="8" t="s">
        <v>85</v>
      </c>
      <c r="D437" s="8">
        <v>1</v>
      </c>
      <c r="E437" s="8">
        <v>5</v>
      </c>
      <c r="F437" s="8" t="s">
        <v>243</v>
      </c>
      <c r="G437" s="8" t="s">
        <v>260</v>
      </c>
      <c r="H437" s="8" t="str">
        <f t="shared" ca="1" si="9"/>
        <v>bbl</v>
      </c>
      <c r="I437" s="8" t="s">
        <v>44</v>
      </c>
      <c r="J437" s="2" t="s">
        <v>745</v>
      </c>
      <c r="K437" s="16" t="s">
        <v>44</v>
      </c>
    </row>
    <row r="438" spans="1:11" x14ac:dyDescent="0.35">
      <c r="A438" s="8" t="s">
        <v>375</v>
      </c>
      <c r="B438" s="8">
        <v>9</v>
      </c>
      <c r="C438" s="8" t="s">
        <v>85</v>
      </c>
      <c r="D438" s="8">
        <v>1</v>
      </c>
      <c r="E438" s="8">
        <v>6</v>
      </c>
      <c r="F438" s="8" t="s">
        <v>243</v>
      </c>
      <c r="G438" s="8" t="s">
        <v>260</v>
      </c>
      <c r="H438" s="8" t="str">
        <f t="shared" ca="1" si="9"/>
        <v>lb CH4</v>
      </c>
      <c r="I438" s="8" t="s">
        <v>726</v>
      </c>
      <c r="J438" s="2" t="s">
        <v>746</v>
      </c>
      <c r="K438" s="16" t="s">
        <v>726</v>
      </c>
    </row>
    <row r="439" spans="1:11" x14ac:dyDescent="0.35">
      <c r="A439" s="8" t="s">
        <v>375</v>
      </c>
      <c r="B439" s="8">
        <v>9</v>
      </c>
      <c r="C439" s="8" t="s">
        <v>85</v>
      </c>
      <c r="D439" s="8">
        <v>1</v>
      </c>
      <c r="E439" s="8">
        <v>7</v>
      </c>
      <c r="F439" s="8" t="s">
        <v>243</v>
      </c>
      <c r="G439" s="8" t="s">
        <v>260</v>
      </c>
      <c r="H439" s="8" t="str">
        <f t="shared" ca="1" si="9"/>
        <v>lb</v>
      </c>
      <c r="I439" s="8" t="s">
        <v>12</v>
      </c>
      <c r="J439" s="2" t="s">
        <v>747</v>
      </c>
      <c r="K439" s="16" t="s">
        <v>12</v>
      </c>
    </row>
    <row r="440" spans="1:11" x14ac:dyDescent="0.35">
      <c r="A440" s="8" t="s">
        <v>375</v>
      </c>
      <c r="B440" s="8">
        <v>9</v>
      </c>
      <c r="C440" s="8" t="s">
        <v>85</v>
      </c>
      <c r="D440" s="8">
        <v>1</v>
      </c>
      <c r="E440" s="8">
        <v>8</v>
      </c>
      <c r="F440" s="8" t="s">
        <v>243</v>
      </c>
      <c r="G440" s="8" t="s">
        <v>260</v>
      </c>
      <c r="H440" s="8" t="str">
        <f t="shared" ca="1" si="9"/>
        <v>m3 CH4</v>
      </c>
      <c r="I440" s="8" t="s">
        <v>672</v>
      </c>
      <c r="J440" s="2" t="s">
        <v>691</v>
      </c>
      <c r="K440" s="16" t="s">
        <v>672</v>
      </c>
    </row>
    <row r="441" spans="1:11" x14ac:dyDescent="0.35">
      <c r="A441" s="8" t="s">
        <v>375</v>
      </c>
      <c r="B441" s="8">
        <v>9</v>
      </c>
      <c r="C441" s="8" t="s">
        <v>85</v>
      </c>
      <c r="D441" s="8">
        <v>1</v>
      </c>
      <c r="E441" s="8">
        <v>9</v>
      </c>
      <c r="F441" s="8" t="s">
        <v>243</v>
      </c>
      <c r="G441" s="8" t="s">
        <v>260</v>
      </c>
      <c r="H441" s="8" t="str">
        <f t="shared" ca="1" si="9"/>
        <v>m3 CH4/d</v>
      </c>
      <c r="I441" s="8" t="s">
        <v>299</v>
      </c>
      <c r="J441" s="2" t="s">
        <v>748</v>
      </c>
      <c r="K441" s="16" t="s">
        <v>299</v>
      </c>
    </row>
    <row r="442" spans="1:11" x14ac:dyDescent="0.35">
      <c r="A442" s="8" t="s">
        <v>375</v>
      </c>
      <c r="B442" s="8">
        <v>9</v>
      </c>
      <c r="C442" s="8" t="s">
        <v>85</v>
      </c>
      <c r="D442" s="8">
        <v>1</v>
      </c>
      <c r="E442" s="8">
        <v>10</v>
      </c>
      <c r="F442" s="8" t="s">
        <v>243</v>
      </c>
      <c r="G442" s="8" t="s">
        <v>260</v>
      </c>
      <c r="H442" s="8" t="str">
        <f t="shared" ca="1" si="9"/>
        <v>m3/hr/device</v>
      </c>
      <c r="I442" s="8" t="s">
        <v>727</v>
      </c>
      <c r="J442" s="2" t="s">
        <v>749</v>
      </c>
      <c r="K442" s="16" t="s">
        <v>733</v>
      </c>
    </row>
    <row r="443" spans="1:11" x14ac:dyDescent="0.35">
      <c r="A443" s="8" t="s">
        <v>375</v>
      </c>
      <c r="B443" s="8">
        <v>9</v>
      </c>
      <c r="C443" s="8" t="s">
        <v>85</v>
      </c>
      <c r="D443" s="8">
        <v>1</v>
      </c>
      <c r="E443" s="8">
        <v>11</v>
      </c>
      <c r="F443" s="8" t="s">
        <v>243</v>
      </c>
      <c r="G443" s="8" t="s">
        <v>260</v>
      </c>
      <c r="H443" s="8" t="str">
        <f t="shared" ca="1" si="9"/>
        <v>mile</v>
      </c>
      <c r="I443" s="8" t="s">
        <v>53</v>
      </c>
      <c r="J443" s="2" t="s">
        <v>750</v>
      </c>
      <c r="K443" s="16" t="s">
        <v>734</v>
      </c>
    </row>
    <row r="444" spans="1:11" x14ac:dyDescent="0.35">
      <c r="A444" s="8" t="s">
        <v>375</v>
      </c>
      <c r="B444" s="8">
        <v>9</v>
      </c>
      <c r="C444" s="8" t="s">
        <v>85</v>
      </c>
      <c r="D444" s="8">
        <v>1</v>
      </c>
      <c r="E444" s="8">
        <v>12</v>
      </c>
      <c r="F444" s="8" t="s">
        <v>243</v>
      </c>
      <c r="G444" s="8" t="s">
        <v>260</v>
      </c>
      <c r="H444" s="8" t="str">
        <f t="shared" ca="1" si="9"/>
        <v>scf</v>
      </c>
      <c r="I444" s="8" t="s">
        <v>18</v>
      </c>
      <c r="J444" s="2" t="s">
        <v>18</v>
      </c>
      <c r="K444" s="16" t="s">
        <v>18</v>
      </c>
    </row>
    <row r="445" spans="1:11" x14ac:dyDescent="0.35">
      <c r="A445" s="8" t="s">
        <v>375</v>
      </c>
      <c r="B445" s="8">
        <v>9</v>
      </c>
      <c r="C445" s="8" t="s">
        <v>85</v>
      </c>
      <c r="D445" s="8">
        <v>1</v>
      </c>
      <c r="E445" s="8">
        <v>13</v>
      </c>
      <c r="F445" s="8" t="s">
        <v>243</v>
      </c>
      <c r="G445" s="8" t="s">
        <v>260</v>
      </c>
      <c r="H445" s="8" t="str">
        <f t="shared" ca="1" si="9"/>
        <v>scf/106 scf gas processed</v>
      </c>
      <c r="I445" s="8" t="s">
        <v>728</v>
      </c>
      <c r="J445" s="2" t="s">
        <v>751</v>
      </c>
      <c r="K445" s="16" t="s">
        <v>735</v>
      </c>
    </row>
    <row r="446" spans="1:11" x14ac:dyDescent="0.35">
      <c r="A446" s="8" t="s">
        <v>375</v>
      </c>
      <c r="B446" s="8">
        <v>9</v>
      </c>
      <c r="C446" s="8" t="s">
        <v>85</v>
      </c>
      <c r="D446" s="8">
        <v>1</v>
      </c>
      <c r="E446" s="8">
        <v>14</v>
      </c>
      <c r="F446" s="8" t="s">
        <v>243</v>
      </c>
      <c r="G446" s="8" t="s">
        <v>260</v>
      </c>
      <c r="H446" s="8" t="str">
        <f t="shared" ca="1" si="9"/>
        <v>scf/activity</v>
      </c>
      <c r="I446" s="8" t="s">
        <v>57</v>
      </c>
      <c r="J446" s="2" t="s">
        <v>752</v>
      </c>
      <c r="K446" s="16" t="s">
        <v>736</v>
      </c>
    </row>
    <row r="447" spans="1:11" x14ac:dyDescent="0.35">
      <c r="A447" s="8" t="s">
        <v>375</v>
      </c>
      <c r="B447" s="8">
        <v>9</v>
      </c>
      <c r="C447" s="8" t="s">
        <v>85</v>
      </c>
      <c r="D447" s="8">
        <v>1</v>
      </c>
      <c r="E447" s="8">
        <v>15</v>
      </c>
      <c r="F447" s="8" t="s">
        <v>243</v>
      </c>
      <c r="G447" s="8" t="s">
        <v>260</v>
      </c>
      <c r="H447" s="8" t="str">
        <f t="shared" ca="1" si="9"/>
        <v>scf/activity-day</v>
      </c>
      <c r="I447" s="8" t="s">
        <v>50</v>
      </c>
      <c r="J447" s="2" t="s">
        <v>753</v>
      </c>
      <c r="K447" s="16" t="s">
        <v>737</v>
      </c>
    </row>
    <row r="448" spans="1:11" x14ac:dyDescent="0.35">
      <c r="A448" s="8" t="s">
        <v>375</v>
      </c>
      <c r="B448" s="8">
        <v>9</v>
      </c>
      <c r="C448" s="8" t="s">
        <v>85</v>
      </c>
      <c r="D448" s="8">
        <v>1</v>
      </c>
      <c r="E448" s="8">
        <v>16</v>
      </c>
      <c r="F448" s="8" t="s">
        <v>243</v>
      </c>
      <c r="G448" s="8" t="s">
        <v>260</v>
      </c>
      <c r="H448" s="8" t="str">
        <f t="shared" ca="1" si="9"/>
        <v>scf/d/device</v>
      </c>
      <c r="I448" s="8" t="s">
        <v>11</v>
      </c>
      <c r="J448" s="2" t="s">
        <v>754</v>
      </c>
      <c r="K448" s="16" t="s">
        <v>738</v>
      </c>
    </row>
    <row r="449" spans="1:11" x14ac:dyDescent="0.35">
      <c r="A449" s="8" t="s">
        <v>375</v>
      </c>
      <c r="B449" s="8">
        <v>9</v>
      </c>
      <c r="C449" s="8" t="s">
        <v>85</v>
      </c>
      <c r="D449" s="8">
        <v>1</v>
      </c>
      <c r="E449" s="8">
        <v>17</v>
      </c>
      <c r="F449" s="8" t="s">
        <v>243</v>
      </c>
      <c r="G449" s="8" t="s">
        <v>260</v>
      </c>
      <c r="H449" s="8" t="str">
        <f t="shared" ca="1" si="9"/>
        <v>scf/y/pipeline-mile</v>
      </c>
      <c r="I449" s="8" t="s">
        <v>51</v>
      </c>
      <c r="J449" s="2" t="s">
        <v>755</v>
      </c>
      <c r="K449" s="16" t="s">
        <v>739</v>
      </c>
    </row>
    <row r="450" spans="1:11" x14ac:dyDescent="0.35">
      <c r="A450" s="8" t="s">
        <v>375</v>
      </c>
      <c r="B450" s="8">
        <v>9</v>
      </c>
      <c r="C450" s="8" t="s">
        <v>85</v>
      </c>
      <c r="D450" s="8">
        <v>1</v>
      </c>
      <c r="E450" s="8">
        <v>18</v>
      </c>
      <c r="F450" s="8" t="s">
        <v>243</v>
      </c>
      <c r="G450" s="8" t="s">
        <v>260</v>
      </c>
      <c r="H450" s="8" t="str">
        <f t="shared" ca="1" si="9"/>
        <v>scf/y/source</v>
      </c>
      <c r="I450" s="8" t="s">
        <v>49</v>
      </c>
      <c r="J450" s="2" t="s">
        <v>756</v>
      </c>
      <c r="K450" s="16" t="s">
        <v>740</v>
      </c>
    </row>
    <row r="451" spans="1:11" x14ac:dyDescent="0.35">
      <c r="A451" s="8" t="s">
        <v>375</v>
      </c>
      <c r="B451" s="8">
        <v>9</v>
      </c>
      <c r="C451" s="8" t="s">
        <v>85</v>
      </c>
      <c r="D451" s="8">
        <v>1</v>
      </c>
      <c r="E451" s="8">
        <v>19</v>
      </c>
      <c r="F451" s="8" t="s">
        <v>243</v>
      </c>
      <c r="G451" s="8" t="s">
        <v>260</v>
      </c>
      <c r="H451" s="8" t="str">
        <f t="shared" ca="1" si="9"/>
        <v>ton</v>
      </c>
      <c r="I451" s="8" t="s">
        <v>15</v>
      </c>
      <c r="J451" s="2" t="s">
        <v>757</v>
      </c>
      <c r="K451" s="16" t="s">
        <v>687</v>
      </c>
    </row>
    <row r="452" spans="1:11" x14ac:dyDescent="0.35">
      <c r="A452" s="8" t="s">
        <v>375</v>
      </c>
      <c r="B452" s="8">
        <v>9</v>
      </c>
      <c r="C452" s="8" t="s">
        <v>85</v>
      </c>
      <c r="D452" s="8">
        <v>1</v>
      </c>
      <c r="E452" s="8">
        <v>20</v>
      </c>
      <c r="F452" s="8" t="s">
        <v>243</v>
      </c>
      <c r="G452" s="8" t="s">
        <v>260</v>
      </c>
      <c r="H452" s="8" t="str">
        <f t="shared" ca="1" si="9"/>
        <v>tonnes CH4/1000 bbl of Liquid</v>
      </c>
      <c r="I452" s="8" t="s">
        <v>729</v>
      </c>
      <c r="J452" s="2" t="s">
        <v>758</v>
      </c>
      <c r="K452" s="16" t="s">
        <v>741</v>
      </c>
    </row>
    <row r="453" spans="1:11" x14ac:dyDescent="0.35">
      <c r="A453" s="8" t="s">
        <v>375</v>
      </c>
      <c r="B453" s="8">
        <v>9</v>
      </c>
      <c r="C453" s="8" t="s">
        <v>85</v>
      </c>
      <c r="D453" s="8">
        <v>1</v>
      </c>
      <c r="E453" s="8">
        <v>21</v>
      </c>
      <c r="F453" s="8" t="s">
        <v>243</v>
      </c>
      <c r="G453" s="8" t="s">
        <v>260</v>
      </c>
      <c r="H453" s="8" t="str">
        <f t="shared" ca="1" si="9"/>
        <v>tonnes CH4/bbl of Liquid</v>
      </c>
      <c r="I453" s="8" t="s">
        <v>730</v>
      </c>
      <c r="J453" s="2" t="s">
        <v>759</v>
      </c>
      <c r="K453" s="16" t="s">
        <v>742</v>
      </c>
    </row>
    <row r="454" spans="1:11" x14ac:dyDescent="0.35">
      <c r="A454" s="8" t="s">
        <v>375</v>
      </c>
      <c r="B454" s="8">
        <v>9</v>
      </c>
      <c r="C454" s="8" t="s">
        <v>85</v>
      </c>
      <c r="D454" s="8">
        <v>1</v>
      </c>
      <c r="E454" s="8">
        <v>22</v>
      </c>
      <c r="F454" s="8" t="s">
        <v>243</v>
      </c>
      <c r="G454" s="8" t="s">
        <v>260</v>
      </c>
      <c r="H454" s="8" t="str">
        <f t="shared" ca="1" si="9"/>
        <v>tonnes CH4/d/source</v>
      </c>
      <c r="I454" s="8" t="s">
        <v>731</v>
      </c>
      <c r="J454" s="2" t="s">
        <v>760</v>
      </c>
      <c r="K454" s="16" t="s">
        <v>743</v>
      </c>
    </row>
    <row r="455" spans="1:11" x14ac:dyDescent="0.35">
      <c r="A455" s="8" t="s">
        <v>375</v>
      </c>
      <c r="B455" s="8">
        <v>9</v>
      </c>
      <c r="C455" s="8" t="s">
        <v>85</v>
      </c>
      <c r="D455" s="8">
        <v>1</v>
      </c>
      <c r="E455" s="8">
        <v>23</v>
      </c>
      <c r="F455" s="8" t="s">
        <v>243</v>
      </c>
      <c r="G455" s="8" t="s">
        <v>260</v>
      </c>
      <c r="H455" s="8" t="str">
        <f t="shared" ca="1" si="9"/>
        <v>tonnes CH4/m3 of Liquid</v>
      </c>
      <c r="I455" s="8" t="s">
        <v>732</v>
      </c>
      <c r="J455" s="2" t="s">
        <v>761</v>
      </c>
      <c r="K455" s="16" t="s">
        <v>744</v>
      </c>
    </row>
    <row r="456" spans="1:11" x14ac:dyDescent="0.35">
      <c r="A456" s="8" t="s">
        <v>375</v>
      </c>
      <c r="B456" s="8">
        <v>9</v>
      </c>
      <c r="C456" s="8" t="s">
        <v>85</v>
      </c>
      <c r="D456" s="8">
        <v>1</v>
      </c>
      <c r="E456" s="8">
        <v>26</v>
      </c>
      <c r="F456" s="8" t="s">
        <v>243</v>
      </c>
      <c r="G456" s="8" t="s">
        <v>260</v>
      </c>
      <c r="H456" s="8" t="str">
        <f t="shared" ca="1" si="9"/>
        <v>Nm3/h</v>
      </c>
      <c r="I456" s="8" t="s">
        <v>764</v>
      </c>
      <c r="J456" s="8" t="s">
        <v>764</v>
      </c>
      <c r="K456" s="8" t="s">
        <v>764</v>
      </c>
    </row>
    <row r="457" spans="1:11" x14ac:dyDescent="0.35">
      <c r="A457" s="8" t="s">
        <v>375</v>
      </c>
      <c r="B457" s="8">
        <v>9</v>
      </c>
      <c r="C457" s="8" t="s">
        <v>85</v>
      </c>
      <c r="D457" s="8">
        <v>1</v>
      </c>
      <c r="E457" s="8">
        <v>27</v>
      </c>
      <c r="F457" s="8" t="s">
        <v>243</v>
      </c>
      <c r="G457" s="8" t="s">
        <v>260</v>
      </c>
      <c r="H457" s="8" t="str">
        <f t="shared" ca="1" si="9"/>
        <v>Nm3/d</v>
      </c>
      <c r="I457" s="8" t="s">
        <v>765</v>
      </c>
      <c r="J457" s="8" t="s">
        <v>765</v>
      </c>
      <c r="K457" s="8" t="s">
        <v>765</v>
      </c>
    </row>
    <row r="458" spans="1:11" x14ac:dyDescent="0.35">
      <c r="A458" s="8" t="s">
        <v>375</v>
      </c>
      <c r="B458" s="8">
        <v>9</v>
      </c>
      <c r="C458" s="8" t="s">
        <v>85</v>
      </c>
      <c r="D458" s="8">
        <v>1</v>
      </c>
      <c r="E458" s="8">
        <v>28</v>
      </c>
      <c r="F458" s="8" t="s">
        <v>243</v>
      </c>
      <c r="G458" s="8" t="s">
        <v>260</v>
      </c>
      <c r="H458" s="8" t="str">
        <f t="shared" ca="1" si="9"/>
        <v>Nm3/y</v>
      </c>
      <c r="I458" s="8" t="s">
        <v>300</v>
      </c>
      <c r="J458" s="8" t="s">
        <v>300</v>
      </c>
      <c r="K458" s="16" t="s">
        <v>524</v>
      </c>
    </row>
    <row r="459" spans="1:11" x14ac:dyDescent="0.35">
      <c r="A459" s="8" t="s">
        <v>375</v>
      </c>
      <c r="B459" s="8">
        <v>9</v>
      </c>
      <c r="C459" s="8" t="s">
        <v>85</v>
      </c>
      <c r="D459" s="8">
        <v>1</v>
      </c>
      <c r="E459" s="8">
        <v>29</v>
      </c>
      <c r="F459" s="8" t="s">
        <v>243</v>
      </c>
      <c r="G459" s="8" t="s">
        <v>260</v>
      </c>
      <c r="H459" s="8" t="str">
        <f t="shared" ca="1" si="9"/>
        <v>Nm3 CH4/h</v>
      </c>
      <c r="I459" s="8" t="s">
        <v>296</v>
      </c>
      <c r="J459" s="8" t="s">
        <v>296</v>
      </c>
      <c r="K459" s="8" t="s">
        <v>296</v>
      </c>
    </row>
    <row r="460" spans="1:11" x14ac:dyDescent="0.35">
      <c r="A460" s="8" t="s">
        <v>375</v>
      </c>
      <c r="B460" s="8">
        <v>9</v>
      </c>
      <c r="C460" s="8" t="s">
        <v>85</v>
      </c>
      <c r="D460" s="8">
        <v>1</v>
      </c>
      <c r="E460" s="8">
        <v>30</v>
      </c>
      <c r="F460" s="8" t="s">
        <v>243</v>
      </c>
      <c r="G460" s="8" t="s">
        <v>260</v>
      </c>
      <c r="H460" s="8" t="str">
        <f t="shared" ca="1" si="9"/>
        <v>Nm3 CH4/d</v>
      </c>
      <c r="I460" s="8" t="s">
        <v>298</v>
      </c>
      <c r="J460" s="8" t="s">
        <v>298</v>
      </c>
      <c r="K460" s="8" t="s">
        <v>298</v>
      </c>
    </row>
    <row r="461" spans="1:11" x14ac:dyDescent="0.35">
      <c r="A461" s="8" t="s">
        <v>375</v>
      </c>
      <c r="B461" s="8">
        <v>9</v>
      </c>
      <c r="C461" s="8" t="s">
        <v>85</v>
      </c>
      <c r="D461" s="8">
        <v>1</v>
      </c>
      <c r="E461" s="8">
        <v>31</v>
      </c>
      <c r="F461" s="8" t="s">
        <v>243</v>
      </c>
      <c r="G461" s="8" t="s">
        <v>260</v>
      </c>
      <c r="H461" s="8" t="str">
        <f t="shared" ca="1" si="9"/>
        <v>Nm3 CH4/y</v>
      </c>
      <c r="I461" s="8" t="s">
        <v>297</v>
      </c>
      <c r="J461" s="8" t="s">
        <v>297</v>
      </c>
      <c r="K461" s="16" t="s">
        <v>518</v>
      </c>
    </row>
    <row r="462" spans="1:11" x14ac:dyDescent="0.35">
      <c r="A462" s="8" t="s">
        <v>375</v>
      </c>
      <c r="B462" s="8">
        <v>9</v>
      </c>
      <c r="C462" s="8" t="s">
        <v>85</v>
      </c>
      <c r="D462" s="8">
        <v>1</v>
      </c>
      <c r="E462" s="8">
        <v>32</v>
      </c>
      <c r="F462" s="8" t="s">
        <v>243</v>
      </c>
      <c r="G462" s="8" t="s">
        <v>260</v>
      </c>
      <c r="H462" s="8" t="str">
        <f t="shared" ca="1" si="9"/>
        <v>kg/h</v>
      </c>
      <c r="I462" s="8" t="s">
        <v>866</v>
      </c>
      <c r="J462" s="8" t="s">
        <v>866</v>
      </c>
      <c r="K462" s="8" t="s">
        <v>866</v>
      </c>
    </row>
    <row r="463" spans="1:11" x14ac:dyDescent="0.35">
      <c r="A463" s="8" t="s">
        <v>375</v>
      </c>
      <c r="B463" s="8">
        <v>9</v>
      </c>
      <c r="C463" s="8" t="s">
        <v>85</v>
      </c>
      <c r="D463" s="8">
        <v>1</v>
      </c>
      <c r="E463" s="8">
        <v>33</v>
      </c>
      <c r="F463" s="8" t="s">
        <v>243</v>
      </c>
      <c r="G463" s="8" t="s">
        <v>260</v>
      </c>
      <c r="H463" s="8" t="str">
        <f t="shared" ca="1" si="9"/>
        <v>tonnes/d</v>
      </c>
      <c r="I463" s="8" t="s">
        <v>867</v>
      </c>
      <c r="J463" s="8" t="s">
        <v>867</v>
      </c>
      <c r="K463" s="8" t="s">
        <v>867</v>
      </c>
    </row>
    <row r="464" spans="1:11" x14ac:dyDescent="0.35">
      <c r="A464" s="8" t="s">
        <v>375</v>
      </c>
      <c r="B464" s="8">
        <v>9</v>
      </c>
      <c r="C464" s="8" t="s">
        <v>85</v>
      </c>
      <c r="D464" s="8">
        <v>1</v>
      </c>
      <c r="E464" s="8">
        <v>34</v>
      </c>
      <c r="F464" s="8" t="s">
        <v>243</v>
      </c>
      <c r="G464" s="8" t="s">
        <v>260</v>
      </c>
      <c r="H464" s="8" t="str">
        <f t="shared" ca="1" si="9"/>
        <v>tonnes/mo</v>
      </c>
      <c r="I464" s="8" t="s">
        <v>868</v>
      </c>
      <c r="J464" s="8" t="s">
        <v>868</v>
      </c>
      <c r="K464" s="8" t="s">
        <v>868</v>
      </c>
    </row>
    <row r="465" spans="1:11" x14ac:dyDescent="0.35">
      <c r="A465" s="8" t="s">
        <v>375</v>
      </c>
      <c r="B465" s="8">
        <v>9</v>
      </c>
      <c r="C465" s="8" t="s">
        <v>85</v>
      </c>
      <c r="D465" s="8">
        <v>1</v>
      </c>
      <c r="E465" s="8">
        <v>35</v>
      </c>
      <c r="F465" s="8" t="s">
        <v>243</v>
      </c>
      <c r="G465" s="8" t="s">
        <v>260</v>
      </c>
      <c r="H465" s="8" t="str">
        <f t="shared" ca="1" si="9"/>
        <v>tonnes/y</v>
      </c>
      <c r="I465" s="8" t="s">
        <v>869</v>
      </c>
      <c r="J465" s="8" t="s">
        <v>869</v>
      </c>
      <c r="K465" s="8" t="s">
        <v>869</v>
      </c>
    </row>
    <row r="466" spans="1:11" x14ac:dyDescent="0.35">
      <c r="A466" s="8" t="s">
        <v>375</v>
      </c>
      <c r="B466" s="8">
        <v>9</v>
      </c>
      <c r="C466" s="8" t="s">
        <v>85</v>
      </c>
      <c r="D466" s="8">
        <v>1</v>
      </c>
      <c r="E466" s="8">
        <v>36</v>
      </c>
      <c r="F466" s="8" t="s">
        <v>243</v>
      </c>
      <c r="G466" s="8" t="s">
        <v>260</v>
      </c>
      <c r="H466" s="8" t="str">
        <f t="shared" ca="1" si="9"/>
        <v>GJ/h</v>
      </c>
      <c r="I466" s="8" t="s">
        <v>875</v>
      </c>
      <c r="J466" s="8" t="s">
        <v>875</v>
      </c>
      <c r="K466" s="8" t="s">
        <v>875</v>
      </c>
    </row>
    <row r="467" spans="1:11" x14ac:dyDescent="0.35">
      <c r="A467" s="8" t="s">
        <v>375</v>
      </c>
      <c r="B467" s="8">
        <v>9</v>
      </c>
      <c r="C467" s="8" t="s">
        <v>85</v>
      </c>
      <c r="D467" s="8">
        <v>1</v>
      </c>
      <c r="E467" s="8">
        <v>37</v>
      </c>
      <c r="F467" s="8" t="s">
        <v>243</v>
      </c>
      <c r="G467" s="8" t="s">
        <v>260</v>
      </c>
      <c r="H467" s="8" t="str">
        <f t="shared" ca="1" si="9"/>
        <v>GJ/d</v>
      </c>
      <c r="I467" s="8" t="s">
        <v>876</v>
      </c>
      <c r="J467" s="8" t="s">
        <v>876</v>
      </c>
      <c r="K467" s="8" t="s">
        <v>876</v>
      </c>
    </row>
    <row r="468" spans="1:11" x14ac:dyDescent="0.35">
      <c r="A468" s="8" t="s">
        <v>375</v>
      </c>
      <c r="B468" s="8">
        <v>9</v>
      </c>
      <c r="C468" s="8" t="s">
        <v>85</v>
      </c>
      <c r="D468" s="8">
        <v>1</v>
      </c>
      <c r="E468" s="8">
        <v>38</v>
      </c>
      <c r="F468" s="8" t="s">
        <v>243</v>
      </c>
      <c r="G468" s="8" t="s">
        <v>260</v>
      </c>
      <c r="H468" s="8" t="str">
        <f t="shared" ca="1" si="9"/>
        <v>GJ/mo</v>
      </c>
      <c r="I468" s="8" t="s">
        <v>877</v>
      </c>
      <c r="J468" s="8" t="s">
        <v>877</v>
      </c>
      <c r="K468" s="8" t="s">
        <v>877</v>
      </c>
    </row>
    <row r="469" spans="1:11" x14ac:dyDescent="0.35">
      <c r="A469" s="8" t="s">
        <v>375</v>
      </c>
      <c r="B469" s="8">
        <v>9</v>
      </c>
      <c r="C469" s="8" t="s">
        <v>85</v>
      </c>
      <c r="D469" s="8">
        <v>1</v>
      </c>
      <c r="E469" s="8">
        <v>39</v>
      </c>
      <c r="F469" s="8" t="s">
        <v>243</v>
      </c>
      <c r="G469" s="8" t="s">
        <v>260</v>
      </c>
      <c r="H469" s="8" t="str">
        <f t="shared" ca="1" si="9"/>
        <v>GJ/y</v>
      </c>
      <c r="I469" s="8" t="s">
        <v>834</v>
      </c>
      <c r="J469" s="8" t="s">
        <v>834</v>
      </c>
      <c r="K469" s="8" t="s">
        <v>834</v>
      </c>
    </row>
    <row r="470" spans="1:11" x14ac:dyDescent="0.35">
      <c r="A470" s="8" t="s">
        <v>375</v>
      </c>
      <c r="B470" s="8">
        <v>9</v>
      </c>
      <c r="C470" s="8" t="s">
        <v>85</v>
      </c>
      <c r="D470" s="8">
        <v>1</v>
      </c>
      <c r="E470" s="8">
        <v>40</v>
      </c>
      <c r="F470" s="8" t="s">
        <v>243</v>
      </c>
      <c r="G470" s="8" t="s">
        <v>260</v>
      </c>
      <c r="H470" s="8" t="str">
        <f t="shared" ca="1" si="9"/>
        <v>mmbtu/h</v>
      </c>
      <c r="I470" s="8" t="s">
        <v>878</v>
      </c>
      <c r="J470" s="8" t="s">
        <v>878</v>
      </c>
      <c r="K470" s="8" t="s">
        <v>878</v>
      </c>
    </row>
    <row r="471" spans="1:11" x14ac:dyDescent="0.35">
      <c r="A471" s="8" t="s">
        <v>375</v>
      </c>
      <c r="B471" s="8">
        <v>9</v>
      </c>
      <c r="C471" s="8" t="s">
        <v>85</v>
      </c>
      <c r="D471" s="8">
        <v>1</v>
      </c>
      <c r="E471" s="8">
        <v>41</v>
      </c>
      <c r="F471" s="8" t="s">
        <v>243</v>
      </c>
      <c r="G471" s="8" t="s">
        <v>260</v>
      </c>
      <c r="H471" s="8" t="str">
        <f t="shared" ca="1" si="9"/>
        <v>mmbtu/d</v>
      </c>
      <c r="I471" s="8" t="s">
        <v>879</v>
      </c>
      <c r="J471" s="8" t="s">
        <v>879</v>
      </c>
      <c r="K471" s="8" t="s">
        <v>879</v>
      </c>
    </row>
    <row r="472" spans="1:11" x14ac:dyDescent="0.35">
      <c r="A472" s="8" t="s">
        <v>375</v>
      </c>
      <c r="B472" s="8">
        <v>9</v>
      </c>
      <c r="C472" s="8" t="s">
        <v>85</v>
      </c>
      <c r="D472" s="8">
        <v>1</v>
      </c>
      <c r="E472" s="8">
        <v>42</v>
      </c>
      <c r="F472" s="8" t="s">
        <v>243</v>
      </c>
      <c r="G472" s="8" t="s">
        <v>260</v>
      </c>
      <c r="H472" s="8" t="str">
        <f t="shared" ca="1" si="9"/>
        <v>mmbtu/mo</v>
      </c>
      <c r="I472" s="8" t="s">
        <v>880</v>
      </c>
      <c r="J472" s="8" t="s">
        <v>880</v>
      </c>
      <c r="K472" s="8" t="s">
        <v>880</v>
      </c>
    </row>
    <row r="473" spans="1:11" x14ac:dyDescent="0.35">
      <c r="A473" s="8" t="s">
        <v>375</v>
      </c>
      <c r="B473" s="8">
        <v>9</v>
      </c>
      <c r="C473" s="8" t="s">
        <v>85</v>
      </c>
      <c r="D473" s="8">
        <v>1</v>
      </c>
      <c r="E473" s="8">
        <v>43</v>
      </c>
      <c r="F473" s="8" t="s">
        <v>243</v>
      </c>
      <c r="G473" s="8" t="s">
        <v>260</v>
      </c>
      <c r="H473" s="8" t="str">
        <f t="shared" ca="1" si="9"/>
        <v>mmbtu/y</v>
      </c>
      <c r="I473" s="8" t="s">
        <v>881</v>
      </c>
      <c r="J473" s="8" t="s">
        <v>881</v>
      </c>
      <c r="K473" s="8" t="s">
        <v>881</v>
      </c>
    </row>
    <row r="474" spans="1:11" x14ac:dyDescent="0.35">
      <c r="A474" s="8" t="s">
        <v>375</v>
      </c>
      <c r="B474" s="8">
        <v>9</v>
      </c>
      <c r="C474" s="8" t="s">
        <v>85</v>
      </c>
      <c r="D474" s="8">
        <v>1</v>
      </c>
      <c r="E474" s="8">
        <v>44</v>
      </c>
      <c r="F474" s="8" t="s">
        <v>243</v>
      </c>
      <c r="G474" s="8" t="s">
        <v>260</v>
      </c>
      <c r="H474" s="8" t="str">
        <f t="shared" ca="1" si="9"/>
        <v>m^3/h</v>
      </c>
      <c r="I474" s="21" t="s">
        <v>888</v>
      </c>
      <c r="J474" s="21" t="s">
        <v>888</v>
      </c>
      <c r="K474" s="21" t="s">
        <v>888</v>
      </c>
    </row>
    <row r="475" spans="1:11" x14ac:dyDescent="0.35">
      <c r="A475" s="8" t="s">
        <v>375</v>
      </c>
      <c r="B475" s="8">
        <v>9</v>
      </c>
      <c r="C475" s="8" t="s">
        <v>85</v>
      </c>
      <c r="D475" s="8">
        <v>1</v>
      </c>
      <c r="E475" s="8">
        <v>45</v>
      </c>
      <c r="F475" s="8" t="s">
        <v>243</v>
      </c>
      <c r="G475" s="8" t="s">
        <v>260</v>
      </c>
      <c r="H475" s="8" t="str">
        <f t="shared" ca="1" si="9"/>
        <v>m^3/d</v>
      </c>
      <c r="I475" s="8" t="s">
        <v>889</v>
      </c>
      <c r="J475" s="8" t="s">
        <v>889</v>
      </c>
      <c r="K475" s="8" t="s">
        <v>889</v>
      </c>
    </row>
    <row r="476" spans="1:11" x14ac:dyDescent="0.35">
      <c r="A476" s="8" t="s">
        <v>375</v>
      </c>
      <c r="B476" s="8">
        <v>9</v>
      </c>
      <c r="C476" s="8" t="s">
        <v>85</v>
      </c>
      <c r="D476" s="8">
        <v>1</v>
      </c>
      <c r="E476" s="8">
        <v>46</v>
      </c>
      <c r="F476" s="8" t="s">
        <v>243</v>
      </c>
      <c r="G476" s="8" t="s">
        <v>260</v>
      </c>
      <c r="H476" s="8" t="str">
        <f t="shared" ca="1" si="9"/>
        <v>m^3/mo</v>
      </c>
      <c r="I476" s="8" t="s">
        <v>890</v>
      </c>
      <c r="J476" s="8" t="s">
        <v>890</v>
      </c>
      <c r="K476" s="8" t="s">
        <v>890</v>
      </c>
    </row>
    <row r="477" spans="1:11" x14ac:dyDescent="0.35">
      <c r="A477" s="8" t="s">
        <v>375</v>
      </c>
      <c r="B477" s="8">
        <v>9</v>
      </c>
      <c r="C477" s="8" t="s">
        <v>85</v>
      </c>
      <c r="D477" s="8">
        <v>1</v>
      </c>
      <c r="E477" s="8">
        <v>47</v>
      </c>
      <c r="F477" s="8" t="s">
        <v>243</v>
      </c>
      <c r="G477" s="8" t="s">
        <v>260</v>
      </c>
      <c r="H477" s="8" t="str">
        <f t="shared" ca="1" si="9"/>
        <v>m^3/y</v>
      </c>
      <c r="I477" s="8" t="s">
        <v>891</v>
      </c>
      <c r="J477" s="8" t="s">
        <v>891</v>
      </c>
      <c r="K477" s="8" t="s">
        <v>891</v>
      </c>
    </row>
    <row r="478" spans="1:11" x14ac:dyDescent="0.35">
      <c r="A478" s="8" t="s">
        <v>375</v>
      </c>
      <c r="B478" s="8">
        <v>9</v>
      </c>
      <c r="C478" s="8" t="s">
        <v>85</v>
      </c>
      <c r="D478" s="8">
        <v>1</v>
      </c>
      <c r="E478" s="8">
        <v>48</v>
      </c>
      <c r="F478" s="8" t="s">
        <v>243</v>
      </c>
      <c r="G478" s="8" t="s">
        <v>260</v>
      </c>
      <c r="H478" s="8" t="str">
        <f t="shared" ca="1" si="9"/>
        <v>usg/h</v>
      </c>
      <c r="I478" s="8" t="s">
        <v>874</v>
      </c>
      <c r="J478" s="8" t="s">
        <v>874</v>
      </c>
      <c r="K478" s="8" t="s">
        <v>874</v>
      </c>
    </row>
    <row r="479" spans="1:11" x14ac:dyDescent="0.35">
      <c r="A479" s="8" t="s">
        <v>375</v>
      </c>
      <c r="B479" s="8">
        <v>9</v>
      </c>
      <c r="C479" s="8" t="s">
        <v>85</v>
      </c>
      <c r="D479" s="8">
        <v>1</v>
      </c>
      <c r="E479" s="8">
        <v>49</v>
      </c>
      <c r="F479" s="8" t="s">
        <v>243</v>
      </c>
      <c r="G479" s="8" t="s">
        <v>260</v>
      </c>
      <c r="H479" s="8" t="str">
        <f t="shared" ca="1" si="9"/>
        <v>bbl/d</v>
      </c>
      <c r="I479" s="8" t="s">
        <v>871</v>
      </c>
      <c r="J479" s="8" t="s">
        <v>871</v>
      </c>
      <c r="K479" s="8" t="s">
        <v>871</v>
      </c>
    </row>
    <row r="480" spans="1:11" x14ac:dyDescent="0.35">
      <c r="A480" s="8" t="s">
        <v>375</v>
      </c>
      <c r="B480" s="8">
        <v>9</v>
      </c>
      <c r="C480" s="8" t="s">
        <v>85</v>
      </c>
      <c r="D480" s="8">
        <v>1</v>
      </c>
      <c r="E480" s="8">
        <v>50</v>
      </c>
      <c r="F480" s="8" t="s">
        <v>243</v>
      </c>
      <c r="G480" s="8" t="s">
        <v>260</v>
      </c>
      <c r="H480" s="8" t="str">
        <f t="shared" ca="1" si="9"/>
        <v>bbl/mo</v>
      </c>
      <c r="I480" s="8" t="s">
        <v>872</v>
      </c>
      <c r="J480" s="8" t="s">
        <v>872</v>
      </c>
      <c r="K480" s="8" t="s">
        <v>872</v>
      </c>
    </row>
    <row r="481" spans="1:11" x14ac:dyDescent="0.35">
      <c r="A481" s="8" t="s">
        <v>375</v>
      </c>
      <c r="B481" s="8">
        <v>9</v>
      </c>
      <c r="C481" s="8" t="s">
        <v>85</v>
      </c>
      <c r="D481" s="8">
        <v>1</v>
      </c>
      <c r="E481" s="8">
        <v>51</v>
      </c>
      <c r="F481" s="8" t="s">
        <v>243</v>
      </c>
      <c r="G481" s="8" t="s">
        <v>260</v>
      </c>
      <c r="H481" s="8" t="str">
        <f t="shared" ca="1" si="9"/>
        <v>bbl/y</v>
      </c>
      <c r="I481" s="8" t="s">
        <v>873</v>
      </c>
      <c r="J481" s="8" t="s">
        <v>873</v>
      </c>
      <c r="K481" s="8" t="s">
        <v>873</v>
      </c>
    </row>
    <row r="482" spans="1:11" x14ac:dyDescent="0.35">
      <c r="A482" s="8" t="s">
        <v>375</v>
      </c>
      <c r="B482" s="8">
        <v>9</v>
      </c>
      <c r="C482" s="8" t="s">
        <v>85</v>
      </c>
      <c r="D482" s="8">
        <v>1</v>
      </c>
      <c r="E482" s="8">
        <v>52</v>
      </c>
      <c r="F482" s="8" t="s">
        <v>243</v>
      </c>
      <c r="G482" s="8" t="s">
        <v>260</v>
      </c>
      <c r="H482" s="8" t="str">
        <f t="shared" ca="1" si="9"/>
        <v>sm^3  CH4/h</v>
      </c>
      <c r="I482" s="2" t="s">
        <v>938</v>
      </c>
      <c r="J482" s="2" t="s">
        <v>938</v>
      </c>
      <c r="K482" s="2" t="s">
        <v>938</v>
      </c>
    </row>
    <row r="483" spans="1:11" x14ac:dyDescent="0.35">
      <c r="A483" s="8" t="s">
        <v>375</v>
      </c>
      <c r="B483" s="8">
        <v>9</v>
      </c>
      <c r="C483" s="8" t="s">
        <v>85</v>
      </c>
      <c r="D483" s="8">
        <v>1</v>
      </c>
      <c r="E483" s="8">
        <v>52</v>
      </c>
      <c r="F483" s="8" t="s">
        <v>243</v>
      </c>
      <c r="G483" s="8" t="s">
        <v>260</v>
      </c>
      <c r="H483" s="8" t="str">
        <f t="shared" ca="1" si="9"/>
        <v>sm^3  CH4/d</v>
      </c>
      <c r="I483" s="2" t="s">
        <v>939</v>
      </c>
      <c r="J483" s="2" t="s">
        <v>939</v>
      </c>
      <c r="K483" s="2" t="s">
        <v>939</v>
      </c>
    </row>
    <row r="484" spans="1:11" x14ac:dyDescent="0.35">
      <c r="A484" s="8" t="s">
        <v>375</v>
      </c>
      <c r="B484" s="8">
        <v>9</v>
      </c>
      <c r="C484" s="8" t="s">
        <v>85</v>
      </c>
      <c r="D484" s="8">
        <v>1</v>
      </c>
      <c r="E484" s="8">
        <v>52</v>
      </c>
      <c r="F484" s="8" t="s">
        <v>243</v>
      </c>
      <c r="G484" s="8" t="s">
        <v>260</v>
      </c>
      <c r="H484" s="8" t="str">
        <f t="shared" ca="1" si="9"/>
        <v>sm^3  CH4/mo</v>
      </c>
      <c r="I484" s="2" t="s">
        <v>940</v>
      </c>
      <c r="J484" s="2" t="s">
        <v>940</v>
      </c>
      <c r="K484" s="2" t="s">
        <v>940</v>
      </c>
    </row>
    <row r="485" spans="1:11" x14ac:dyDescent="0.35">
      <c r="A485" s="8" t="s">
        <v>375</v>
      </c>
      <c r="B485" s="8">
        <v>9</v>
      </c>
      <c r="C485" s="8" t="s">
        <v>85</v>
      </c>
      <c r="D485" s="8">
        <v>1</v>
      </c>
      <c r="E485" s="8">
        <v>52</v>
      </c>
      <c r="F485" s="8" t="s">
        <v>243</v>
      </c>
      <c r="G485" s="8" t="s">
        <v>260</v>
      </c>
      <c r="H485" s="8" t="str">
        <f t="shared" ca="1" si="9"/>
        <v>sm^3  CH4/y</v>
      </c>
      <c r="I485" s="2" t="s">
        <v>941</v>
      </c>
      <c r="J485" s="2" t="s">
        <v>941</v>
      </c>
      <c r="K485" s="2" t="s">
        <v>941</v>
      </c>
    </row>
    <row r="486" spans="1:11" x14ac:dyDescent="0.35">
      <c r="A486" s="8" t="s">
        <v>375</v>
      </c>
      <c r="B486" s="8">
        <v>9</v>
      </c>
      <c r="C486" s="8" t="s">
        <v>85</v>
      </c>
      <c r="D486" s="8">
        <v>1</v>
      </c>
      <c r="E486" s="8">
        <v>52</v>
      </c>
      <c r="F486" s="8" t="s">
        <v>243</v>
      </c>
      <c r="G486" s="8" t="s">
        <v>260</v>
      </c>
      <c r="H486" s="8" t="str">
        <f t="shared" ca="1" si="9"/>
        <v>sm^3/h</v>
      </c>
      <c r="I486" s="2" t="s">
        <v>898</v>
      </c>
      <c r="J486" s="2" t="s">
        <v>898</v>
      </c>
      <c r="K486" s="2" t="s">
        <v>898</v>
      </c>
    </row>
    <row r="487" spans="1:11" x14ac:dyDescent="0.35">
      <c r="A487" s="8" t="s">
        <v>375</v>
      </c>
      <c r="B487" s="8">
        <v>9</v>
      </c>
      <c r="C487" s="8" t="s">
        <v>85</v>
      </c>
      <c r="D487" s="8">
        <v>1</v>
      </c>
      <c r="E487" s="8">
        <v>52</v>
      </c>
      <c r="F487" s="8" t="s">
        <v>243</v>
      </c>
      <c r="G487" s="8" t="s">
        <v>260</v>
      </c>
      <c r="H487" s="8" t="str">
        <f t="shared" ca="1" si="9"/>
        <v>sm^3/d</v>
      </c>
      <c r="I487" s="2" t="s">
        <v>895</v>
      </c>
      <c r="J487" s="2" t="s">
        <v>895</v>
      </c>
      <c r="K487" s="2" t="s">
        <v>895</v>
      </c>
    </row>
    <row r="488" spans="1:11" x14ac:dyDescent="0.35">
      <c r="A488" s="8" t="s">
        <v>375</v>
      </c>
      <c r="B488" s="8">
        <v>9</v>
      </c>
      <c r="C488" s="8" t="s">
        <v>85</v>
      </c>
      <c r="D488" s="8">
        <v>1</v>
      </c>
      <c r="E488" s="8">
        <v>53</v>
      </c>
      <c r="F488" s="8" t="s">
        <v>243</v>
      </c>
      <c r="G488" s="8" t="s">
        <v>260</v>
      </c>
      <c r="H488" s="8" t="str">
        <f t="shared" ca="1" si="9"/>
        <v>sm^3/mo</v>
      </c>
      <c r="I488" s="2" t="s">
        <v>896</v>
      </c>
      <c r="J488" s="2" t="s">
        <v>896</v>
      </c>
      <c r="K488" s="2" t="s">
        <v>896</v>
      </c>
    </row>
    <row r="489" spans="1:11" x14ac:dyDescent="0.35">
      <c r="A489" s="8" t="s">
        <v>375</v>
      </c>
      <c r="B489" s="8">
        <v>9</v>
      </c>
      <c r="C489" s="8" t="s">
        <v>85</v>
      </c>
      <c r="D489" s="8">
        <v>1</v>
      </c>
      <c r="E489" s="8">
        <v>54</v>
      </c>
      <c r="F489" s="8" t="s">
        <v>243</v>
      </c>
      <c r="G489" s="8" t="s">
        <v>260</v>
      </c>
      <c r="H489" s="8" t="str">
        <f t="shared" ca="1" si="9"/>
        <v>sm^3/y</v>
      </c>
      <c r="I489" s="2" t="s">
        <v>897</v>
      </c>
      <c r="J489" s="2" t="s">
        <v>897</v>
      </c>
      <c r="K489" s="2" t="s">
        <v>897</v>
      </c>
    </row>
    <row r="490" spans="1:11" x14ac:dyDescent="0.35">
      <c r="A490" s="8" t="s">
        <v>375</v>
      </c>
      <c r="B490" s="8">
        <v>9</v>
      </c>
      <c r="C490" s="8" t="s">
        <v>85</v>
      </c>
      <c r="D490" s="8">
        <v>1</v>
      </c>
      <c r="E490" s="8">
        <v>55</v>
      </c>
      <c r="F490" s="8" t="s">
        <v>243</v>
      </c>
      <c r="G490" s="8" t="s">
        <v>260</v>
      </c>
      <c r="H490" s="8" t="str">
        <f t="shared" ca="1" si="9"/>
        <v>mmscf  CH4/h</v>
      </c>
      <c r="I490" s="8" t="s">
        <v>942</v>
      </c>
      <c r="J490" s="8" t="s">
        <v>942</v>
      </c>
      <c r="K490" s="8" t="s">
        <v>942</v>
      </c>
    </row>
    <row r="491" spans="1:11" x14ac:dyDescent="0.35">
      <c r="A491" s="8" t="s">
        <v>375</v>
      </c>
      <c r="B491" s="8">
        <v>9</v>
      </c>
      <c r="C491" s="8" t="s">
        <v>85</v>
      </c>
      <c r="D491" s="8">
        <v>1</v>
      </c>
      <c r="E491" s="8">
        <v>55</v>
      </c>
      <c r="F491" s="8" t="s">
        <v>243</v>
      </c>
      <c r="G491" s="8" t="s">
        <v>260</v>
      </c>
      <c r="H491" s="8" t="str">
        <f t="shared" ca="1" si="9"/>
        <v>mmscf  CH4/d</v>
      </c>
      <c r="I491" s="8" t="s">
        <v>943</v>
      </c>
      <c r="J491" s="8" t="s">
        <v>943</v>
      </c>
      <c r="K491" s="8" t="s">
        <v>943</v>
      </c>
    </row>
    <row r="492" spans="1:11" x14ac:dyDescent="0.35">
      <c r="A492" s="8" t="s">
        <v>375</v>
      </c>
      <c r="B492" s="8">
        <v>9</v>
      </c>
      <c r="C492" s="8" t="s">
        <v>85</v>
      </c>
      <c r="D492" s="8">
        <v>1</v>
      </c>
      <c r="E492" s="8">
        <v>55</v>
      </c>
      <c r="F492" s="8" t="s">
        <v>243</v>
      </c>
      <c r="G492" s="8" t="s">
        <v>260</v>
      </c>
      <c r="H492" s="8" t="str">
        <f t="shared" ca="1" si="9"/>
        <v>mmscf  CH4/mo</v>
      </c>
      <c r="I492" s="8" t="s">
        <v>944</v>
      </c>
      <c r="J492" s="8" t="s">
        <v>944</v>
      </c>
      <c r="K492" s="8" t="s">
        <v>944</v>
      </c>
    </row>
    <row r="493" spans="1:11" x14ac:dyDescent="0.35">
      <c r="A493" s="8" t="s">
        <v>375</v>
      </c>
      <c r="B493" s="8">
        <v>9</v>
      </c>
      <c r="C493" s="8" t="s">
        <v>85</v>
      </c>
      <c r="D493" s="8">
        <v>1</v>
      </c>
      <c r="E493" s="8">
        <v>55</v>
      </c>
      <c r="F493" s="8" t="s">
        <v>243</v>
      </c>
      <c r="G493" s="8" t="s">
        <v>260</v>
      </c>
      <c r="H493" s="8" t="str">
        <f t="shared" ca="1" si="9"/>
        <v>mmscf  CH4/y</v>
      </c>
      <c r="I493" s="8" t="s">
        <v>945</v>
      </c>
      <c r="J493" s="8" t="s">
        <v>945</v>
      </c>
      <c r="K493" s="8" t="s">
        <v>945</v>
      </c>
    </row>
    <row r="494" spans="1:11" x14ac:dyDescent="0.35">
      <c r="A494" s="8" t="s">
        <v>375</v>
      </c>
      <c r="B494" s="8">
        <v>9</v>
      </c>
      <c r="C494" s="8" t="s">
        <v>85</v>
      </c>
      <c r="D494" s="8">
        <v>1</v>
      </c>
      <c r="E494" s="8">
        <v>55</v>
      </c>
      <c r="F494" s="8" t="s">
        <v>243</v>
      </c>
      <c r="G494" s="8" t="s">
        <v>260</v>
      </c>
      <c r="H494" s="8" t="str">
        <f t="shared" ca="1" si="9"/>
        <v>mmscf/h</v>
      </c>
      <c r="I494" s="8" t="s">
        <v>884</v>
      </c>
      <c r="J494" s="8" t="s">
        <v>884</v>
      </c>
      <c r="K494" s="8" t="s">
        <v>884</v>
      </c>
    </row>
    <row r="495" spans="1:11" x14ac:dyDescent="0.35">
      <c r="A495" s="8" t="s">
        <v>375</v>
      </c>
      <c r="B495" s="8">
        <v>9</v>
      </c>
      <c r="C495" s="8" t="s">
        <v>85</v>
      </c>
      <c r="D495" s="8">
        <v>1</v>
      </c>
      <c r="E495" s="8">
        <v>56</v>
      </c>
      <c r="F495" s="8" t="s">
        <v>243</v>
      </c>
      <c r="G495" s="8" t="s">
        <v>260</v>
      </c>
      <c r="H495" s="8" t="str">
        <f t="shared" ca="1" si="9"/>
        <v>mmscf/d</v>
      </c>
      <c r="I495" s="8" t="s">
        <v>885</v>
      </c>
      <c r="J495" s="8" t="s">
        <v>885</v>
      </c>
      <c r="K495" s="8" t="s">
        <v>885</v>
      </c>
    </row>
    <row r="496" spans="1:11" x14ac:dyDescent="0.35">
      <c r="A496" s="8" t="s">
        <v>375</v>
      </c>
      <c r="B496" s="8">
        <v>9</v>
      </c>
      <c r="C496" s="8" t="s">
        <v>85</v>
      </c>
      <c r="D496" s="8">
        <v>1</v>
      </c>
      <c r="E496" s="8">
        <v>57</v>
      </c>
      <c r="F496" s="8" t="s">
        <v>243</v>
      </c>
      <c r="G496" s="8" t="s">
        <v>260</v>
      </c>
      <c r="H496" s="8" t="str">
        <f t="shared" ca="1" si="9"/>
        <v>mmscf/mo</v>
      </c>
      <c r="I496" s="8" t="s">
        <v>886</v>
      </c>
      <c r="J496" s="8" t="s">
        <v>886</v>
      </c>
      <c r="K496" s="8" t="s">
        <v>886</v>
      </c>
    </row>
    <row r="497" spans="1:11" x14ac:dyDescent="0.35">
      <c r="A497" s="8" t="s">
        <v>375</v>
      </c>
      <c r="B497" s="8">
        <v>9</v>
      </c>
      <c r="C497" s="8" t="s">
        <v>85</v>
      </c>
      <c r="D497" s="8">
        <v>1</v>
      </c>
      <c r="E497" s="8">
        <v>58</v>
      </c>
      <c r="F497" s="8" t="s">
        <v>243</v>
      </c>
      <c r="G497" s="8" t="s">
        <v>260</v>
      </c>
      <c r="H497" s="8" t="str">
        <f t="shared" ca="1" si="9"/>
        <v>mmscf/y</v>
      </c>
      <c r="I497" s="8" t="s">
        <v>887</v>
      </c>
      <c r="J497" s="8" t="s">
        <v>887</v>
      </c>
      <c r="K497" s="8" t="s">
        <v>887</v>
      </c>
    </row>
    <row r="498" spans="1:11" x14ac:dyDescent="0.35">
      <c r="A498" s="8" t="s">
        <v>375</v>
      </c>
      <c r="B498" s="8">
        <v>9</v>
      </c>
      <c r="C498" s="8" t="s">
        <v>85</v>
      </c>
      <c r="D498" s="8">
        <v>1</v>
      </c>
      <c r="E498" s="8">
        <v>59</v>
      </c>
      <c r="F498" s="8" t="s">
        <v>243</v>
      </c>
      <c r="G498" s="8" t="s">
        <v>260</v>
      </c>
      <c r="H498" s="8" t="str">
        <f t="shared" ca="1" si="9"/>
        <v>E+03 sm^3/d</v>
      </c>
      <c r="I498" s="2" t="s">
        <v>892</v>
      </c>
      <c r="J498" s="2" t="s">
        <v>892</v>
      </c>
      <c r="K498" s="2" t="s">
        <v>892</v>
      </c>
    </row>
    <row r="499" spans="1:11" x14ac:dyDescent="0.35">
      <c r="A499" s="8" t="s">
        <v>375</v>
      </c>
      <c r="B499" s="8">
        <v>9</v>
      </c>
      <c r="C499" s="8" t="s">
        <v>85</v>
      </c>
      <c r="D499" s="8">
        <v>1</v>
      </c>
      <c r="E499" s="8">
        <v>60</v>
      </c>
      <c r="F499" s="8" t="s">
        <v>243</v>
      </c>
      <c r="G499" s="8" t="s">
        <v>260</v>
      </c>
      <c r="H499" s="8" t="str">
        <f t="shared" ca="1" si="9"/>
        <v>E+03 sm^3/mo</v>
      </c>
      <c r="I499" s="2" t="s">
        <v>893</v>
      </c>
      <c r="J499" s="2" t="s">
        <v>893</v>
      </c>
      <c r="K499" s="2" t="s">
        <v>893</v>
      </c>
    </row>
    <row r="500" spans="1:11" x14ac:dyDescent="0.35">
      <c r="A500" s="8" t="s">
        <v>375</v>
      </c>
      <c r="B500" s="8">
        <v>9</v>
      </c>
      <c r="C500" s="8" t="s">
        <v>85</v>
      </c>
      <c r="D500" s="8">
        <v>1</v>
      </c>
      <c r="E500" s="8">
        <v>61</v>
      </c>
      <c r="F500" s="8" t="s">
        <v>243</v>
      </c>
      <c r="G500" s="8" t="s">
        <v>260</v>
      </c>
      <c r="H500" s="8" t="str">
        <f t="shared" ca="1" si="9"/>
        <v>E+03 sm^3/y</v>
      </c>
      <c r="I500" s="2" t="s">
        <v>894</v>
      </c>
      <c r="J500" s="2" t="s">
        <v>894</v>
      </c>
      <c r="K500" s="2" t="s">
        <v>894</v>
      </c>
    </row>
    <row r="501" spans="1:11" x14ac:dyDescent="0.35">
      <c r="A501" s="8" t="s">
        <v>375</v>
      </c>
      <c r="B501" s="8">
        <v>9</v>
      </c>
      <c r="C501" s="8" t="s">
        <v>85</v>
      </c>
      <c r="D501" s="8">
        <v>1</v>
      </c>
      <c r="E501" s="8">
        <v>5</v>
      </c>
      <c r="F501" s="8" t="s">
        <v>27</v>
      </c>
      <c r="G501" s="8" t="s">
        <v>260</v>
      </c>
      <c r="H501" s="8" t="str">
        <f t="shared" ca="1" si="9"/>
        <v>m3</v>
      </c>
      <c r="I501" s="8" t="s">
        <v>671</v>
      </c>
      <c r="J501" s="2" t="s">
        <v>690</v>
      </c>
      <c r="K501" s="8" t="s">
        <v>671</v>
      </c>
    </row>
    <row r="502" spans="1:11" x14ac:dyDescent="0.35">
      <c r="A502" s="8" t="s">
        <v>375</v>
      </c>
      <c r="B502" s="8">
        <v>9</v>
      </c>
      <c r="C502" s="8" t="s">
        <v>85</v>
      </c>
      <c r="D502" s="8">
        <v>1</v>
      </c>
      <c r="E502" s="8">
        <v>6</v>
      </c>
      <c r="F502" s="8" t="s">
        <v>27</v>
      </c>
      <c r="G502" s="8" t="s">
        <v>260</v>
      </c>
      <c r="H502" s="8" t="str">
        <f t="shared" ca="1" si="9"/>
        <v>m3 CH4</v>
      </c>
      <c r="I502" s="8" t="s">
        <v>672</v>
      </c>
      <c r="J502" s="2" t="s">
        <v>691</v>
      </c>
      <c r="K502" s="8" t="s">
        <v>672</v>
      </c>
    </row>
    <row r="503" spans="1:11" x14ac:dyDescent="0.35">
      <c r="A503" s="8" t="s">
        <v>375</v>
      </c>
      <c r="B503" s="8">
        <v>9</v>
      </c>
      <c r="C503" s="8" t="s">
        <v>85</v>
      </c>
      <c r="D503" s="8">
        <v>1</v>
      </c>
      <c r="E503" s="8">
        <v>7</v>
      </c>
      <c r="F503" s="8" t="s">
        <v>27</v>
      </c>
      <c r="G503" s="8" t="s">
        <v>260</v>
      </c>
      <c r="H503" s="8" t="str">
        <f t="shared" ca="1" si="9"/>
        <v>kg</v>
      </c>
      <c r="I503" s="8" t="s">
        <v>13</v>
      </c>
      <c r="J503" s="2" t="s">
        <v>692</v>
      </c>
      <c r="K503" s="8" t="s">
        <v>13</v>
      </c>
    </row>
    <row r="504" spans="1:11" x14ac:dyDescent="0.35">
      <c r="A504" s="8" t="s">
        <v>375</v>
      </c>
      <c r="B504" s="8">
        <v>9</v>
      </c>
      <c r="C504" s="8" t="s">
        <v>85</v>
      </c>
      <c r="D504" s="8">
        <v>1</v>
      </c>
      <c r="E504" s="8">
        <v>8</v>
      </c>
      <c r="F504" s="8" t="s">
        <v>27</v>
      </c>
      <c r="G504" s="8" t="s">
        <v>260</v>
      </c>
      <c r="H504" s="8" t="str">
        <f t="shared" ca="1" si="9"/>
        <v>tonnes CH4</v>
      </c>
      <c r="I504" s="8" t="s">
        <v>673</v>
      </c>
      <c r="J504" s="2" t="s">
        <v>693</v>
      </c>
      <c r="K504" s="16" t="s">
        <v>681</v>
      </c>
    </row>
    <row r="505" spans="1:11" x14ac:dyDescent="0.35">
      <c r="A505" s="8" t="s">
        <v>375</v>
      </c>
      <c r="B505" s="8">
        <v>9</v>
      </c>
      <c r="C505" s="8" t="s">
        <v>85</v>
      </c>
      <c r="D505" s="8">
        <v>1</v>
      </c>
      <c r="E505" s="8">
        <v>9</v>
      </c>
      <c r="F505" s="8" t="s">
        <v>27</v>
      </c>
      <c r="G505" s="8" t="s">
        <v>260</v>
      </c>
      <c r="H505" s="8" t="str">
        <f t="shared" ca="1" si="9"/>
        <v>tonnes CH4/y</v>
      </c>
      <c r="I505" s="8" t="s">
        <v>105</v>
      </c>
      <c r="J505" s="2" t="s">
        <v>694</v>
      </c>
      <c r="K505" s="16" t="s">
        <v>682</v>
      </c>
    </row>
    <row r="506" spans="1:11" x14ac:dyDescent="0.35">
      <c r="A506" s="8" t="s">
        <v>375</v>
      </c>
      <c r="B506" s="8">
        <v>9</v>
      </c>
      <c r="C506" s="8" t="s">
        <v>85</v>
      </c>
      <c r="D506" s="8">
        <v>1</v>
      </c>
      <c r="E506" s="8">
        <v>10</v>
      </c>
      <c r="F506" s="8" t="s">
        <v>27</v>
      </c>
      <c r="G506" s="8" t="s">
        <v>260</v>
      </c>
      <c r="H506" s="8" t="str">
        <f t="shared" ca="1" si="9"/>
        <v>m3/d/device</v>
      </c>
      <c r="I506" s="8" t="s">
        <v>674</v>
      </c>
      <c r="J506" s="2" t="s">
        <v>695</v>
      </c>
      <c r="K506" s="16" t="s">
        <v>683</v>
      </c>
    </row>
    <row r="507" spans="1:11" x14ac:dyDescent="0.35">
      <c r="A507" s="8" t="s">
        <v>375</v>
      </c>
      <c r="B507" s="8">
        <v>9</v>
      </c>
      <c r="C507" s="8" t="s">
        <v>85</v>
      </c>
      <c r="D507" s="8">
        <v>1</v>
      </c>
      <c r="E507" s="8">
        <v>11</v>
      </c>
      <c r="F507" s="8" t="s">
        <v>27</v>
      </c>
      <c r="G507" s="8" t="s">
        <v>260</v>
      </c>
      <c r="H507" s="8" t="str">
        <f t="shared" ca="1" si="9"/>
        <v>km</v>
      </c>
      <c r="I507" s="8" t="s">
        <v>54</v>
      </c>
      <c r="J507" s="2" t="s">
        <v>696</v>
      </c>
      <c r="K507" s="8" t="s">
        <v>54</v>
      </c>
    </row>
    <row r="508" spans="1:11" x14ac:dyDescent="0.35">
      <c r="A508" s="8" t="s">
        <v>375</v>
      </c>
      <c r="B508" s="8">
        <v>9</v>
      </c>
      <c r="C508" s="8" t="s">
        <v>85</v>
      </c>
      <c r="D508" s="8">
        <v>1</v>
      </c>
      <c r="E508" s="8">
        <v>12</v>
      </c>
      <c r="F508" s="8" t="s">
        <v>27</v>
      </c>
      <c r="G508" s="8" t="s">
        <v>260</v>
      </c>
      <c r="H508" s="8" t="str">
        <f t="shared" ca="1" si="9"/>
        <v>m3</v>
      </c>
      <c r="I508" s="8" t="s">
        <v>671</v>
      </c>
      <c r="J508" s="2" t="s">
        <v>690</v>
      </c>
      <c r="K508" s="8" t="s">
        <v>671</v>
      </c>
    </row>
    <row r="509" spans="1:11" x14ac:dyDescent="0.35">
      <c r="A509" s="8" t="s">
        <v>375</v>
      </c>
      <c r="B509" s="8">
        <v>9</v>
      </c>
      <c r="C509" s="8" t="s">
        <v>85</v>
      </c>
      <c r="D509" s="8">
        <v>1</v>
      </c>
      <c r="E509" s="8">
        <v>13</v>
      </c>
      <c r="F509" s="8" t="s">
        <v>27</v>
      </c>
      <c r="G509" s="8" t="s">
        <v>260</v>
      </c>
      <c r="H509" s="8" t="str">
        <f t="shared" ca="1" si="9"/>
        <v>m3/106 m3 gas processed</v>
      </c>
      <c r="I509" s="8" t="s">
        <v>675</v>
      </c>
      <c r="J509" s="2" t="s">
        <v>697</v>
      </c>
      <c r="K509" s="16" t="s">
        <v>684</v>
      </c>
    </row>
    <row r="510" spans="1:11" x14ac:dyDescent="0.35">
      <c r="A510" s="8" t="s">
        <v>375</v>
      </c>
      <c r="B510" s="8">
        <v>9</v>
      </c>
      <c r="C510" s="8" t="s">
        <v>85</v>
      </c>
      <c r="D510" s="8">
        <v>1</v>
      </c>
      <c r="E510" s="8">
        <v>14</v>
      </c>
      <c r="F510" s="8" t="s">
        <v>27</v>
      </c>
      <c r="G510" s="8" t="s">
        <v>260</v>
      </c>
      <c r="H510" s="8" t="str">
        <f t="shared" ca="1" si="9"/>
        <v>m3/activity</v>
      </c>
      <c r="I510" s="8" t="s">
        <v>676</v>
      </c>
      <c r="J510" s="2" t="s">
        <v>698</v>
      </c>
      <c r="K510" s="16" t="s">
        <v>685</v>
      </c>
    </row>
    <row r="511" spans="1:11" x14ac:dyDescent="0.35">
      <c r="A511" s="8" t="s">
        <v>375</v>
      </c>
      <c r="B511" s="8">
        <v>9</v>
      </c>
      <c r="C511" s="8" t="s">
        <v>85</v>
      </c>
      <c r="D511" s="8">
        <v>1</v>
      </c>
      <c r="E511" s="8">
        <v>15</v>
      </c>
      <c r="F511" s="8" t="s">
        <v>27</v>
      </c>
      <c r="G511" s="8" t="s">
        <v>260</v>
      </c>
      <c r="H511" s="8" t="str">
        <f t="shared" ca="1" si="9"/>
        <v>m3/activity-day</v>
      </c>
      <c r="I511" s="8" t="s">
        <v>677</v>
      </c>
      <c r="J511" s="2" t="s">
        <v>699</v>
      </c>
      <c r="K511" s="16" t="s">
        <v>686</v>
      </c>
    </row>
    <row r="512" spans="1:11" x14ac:dyDescent="0.35">
      <c r="A512" s="8" t="s">
        <v>375</v>
      </c>
      <c r="B512" s="8">
        <v>9</v>
      </c>
      <c r="C512" s="8" t="s">
        <v>85</v>
      </c>
      <c r="D512" s="8">
        <v>1</v>
      </c>
      <c r="E512" s="8">
        <v>16</v>
      </c>
      <c r="F512" s="8" t="s">
        <v>27</v>
      </c>
      <c r="G512" s="8" t="s">
        <v>260</v>
      </c>
      <c r="H512" s="8" t="str">
        <f t="shared" ca="1" si="9"/>
        <v>m3/d/device</v>
      </c>
      <c r="I512" s="8" t="s">
        <v>674</v>
      </c>
      <c r="J512" s="2" t="s">
        <v>695</v>
      </c>
      <c r="K512" s="16" t="s">
        <v>683</v>
      </c>
    </row>
    <row r="513" spans="1:11" x14ac:dyDescent="0.35">
      <c r="A513" s="8" t="s">
        <v>375</v>
      </c>
      <c r="B513" s="8">
        <v>9</v>
      </c>
      <c r="C513" s="8" t="s">
        <v>85</v>
      </c>
      <c r="D513" s="8">
        <v>1</v>
      </c>
      <c r="E513" s="8">
        <v>17</v>
      </c>
      <c r="F513" s="8" t="s">
        <v>27</v>
      </c>
      <c r="G513" s="8" t="s">
        <v>260</v>
      </c>
      <c r="H513" s="8" t="str">
        <f t="shared" ca="1" si="9"/>
        <v>scf/y/pipeline-km</v>
      </c>
      <c r="I513" s="8" t="s">
        <v>52</v>
      </c>
      <c r="J513" s="2" t="s">
        <v>700</v>
      </c>
      <c r="K513" s="16" t="s">
        <v>722</v>
      </c>
    </row>
    <row r="514" spans="1:11" x14ac:dyDescent="0.35">
      <c r="A514" s="8" t="s">
        <v>375</v>
      </c>
      <c r="B514" s="8">
        <v>9</v>
      </c>
      <c r="C514" s="8" t="s">
        <v>85</v>
      </c>
      <c r="D514" s="8">
        <v>1</v>
      </c>
      <c r="E514" s="8">
        <v>18</v>
      </c>
      <c r="F514" s="8" t="s">
        <v>27</v>
      </c>
      <c r="G514" s="8" t="s">
        <v>260</v>
      </c>
      <c r="H514" s="8" t="str">
        <f t="shared" ca="1" si="9"/>
        <v>m3/y/source</v>
      </c>
      <c r="I514" s="8" t="s">
        <v>678</v>
      </c>
      <c r="J514" s="2" t="s">
        <v>701</v>
      </c>
      <c r="K514" s="16" t="s">
        <v>725</v>
      </c>
    </row>
    <row r="515" spans="1:11" x14ac:dyDescent="0.35">
      <c r="A515" s="8" t="s">
        <v>375</v>
      </c>
      <c r="B515" s="8">
        <v>9</v>
      </c>
      <c r="C515" s="8" t="s">
        <v>85</v>
      </c>
      <c r="D515" s="8">
        <v>1</v>
      </c>
      <c r="E515" s="8">
        <v>19</v>
      </c>
      <c r="F515" s="8" t="s">
        <v>27</v>
      </c>
      <c r="G515" s="8" t="s">
        <v>260</v>
      </c>
      <c r="H515" s="8" t="str">
        <f t="shared" ca="1" si="9"/>
        <v>tonne</v>
      </c>
      <c r="I515" s="8" t="s">
        <v>16</v>
      </c>
      <c r="J515" s="2" t="s">
        <v>261</v>
      </c>
      <c r="K515" s="16" t="s">
        <v>687</v>
      </c>
    </row>
    <row r="516" spans="1:11" x14ac:dyDescent="0.35">
      <c r="A516" s="8" t="s">
        <v>375</v>
      </c>
      <c r="B516" s="8">
        <v>9</v>
      </c>
      <c r="C516" s="8" t="s">
        <v>85</v>
      </c>
      <c r="D516" s="8">
        <v>1</v>
      </c>
      <c r="E516" s="8">
        <v>19</v>
      </c>
      <c r="F516" s="8" t="s">
        <v>27</v>
      </c>
      <c r="G516" s="8" t="s">
        <v>260</v>
      </c>
      <c r="H516" s="8" t="str">
        <f t="shared" ca="1" si="9"/>
        <v>tonne/y</v>
      </c>
      <c r="I516" s="8" t="s">
        <v>882</v>
      </c>
      <c r="J516" s="2" t="s">
        <v>261</v>
      </c>
      <c r="K516" s="16" t="s">
        <v>883</v>
      </c>
    </row>
    <row r="517" spans="1:11" x14ac:dyDescent="0.35">
      <c r="A517" s="8" t="s">
        <v>375</v>
      </c>
      <c r="B517" s="8">
        <v>9</v>
      </c>
      <c r="C517" s="8" t="s">
        <v>85</v>
      </c>
      <c r="D517" s="8">
        <v>1</v>
      </c>
      <c r="E517" s="8">
        <v>19</v>
      </c>
      <c r="F517" s="8" t="s">
        <v>27</v>
      </c>
      <c r="G517" s="8" t="s">
        <v>260</v>
      </c>
      <c r="H517" s="8" t="str">
        <f t="shared" ca="1" si="9"/>
        <v>GJ/y</v>
      </c>
      <c r="I517" s="8" t="s">
        <v>834</v>
      </c>
      <c r="J517" s="8" t="s">
        <v>834</v>
      </c>
      <c r="K517" s="8" t="s">
        <v>834</v>
      </c>
    </row>
    <row r="518" spans="1:11" x14ac:dyDescent="0.35">
      <c r="A518" s="8" t="s">
        <v>375</v>
      </c>
      <c r="B518" s="8">
        <v>9</v>
      </c>
      <c r="C518" s="8" t="s">
        <v>85</v>
      </c>
      <c r="D518" s="8">
        <v>1</v>
      </c>
      <c r="E518" s="8">
        <v>19</v>
      </c>
      <c r="F518" s="8" t="s">
        <v>27</v>
      </c>
      <c r="G518" s="8" t="s">
        <v>260</v>
      </c>
      <c r="H518" s="8" t="str">
        <f t="shared" ca="1" si="9"/>
        <v>m3/h</v>
      </c>
      <c r="I518" s="8" t="s">
        <v>870</v>
      </c>
      <c r="J518" s="8" t="s">
        <v>870</v>
      </c>
      <c r="K518" s="8" t="s">
        <v>870</v>
      </c>
    </row>
    <row r="519" spans="1:11" x14ac:dyDescent="0.35">
      <c r="A519" s="8" t="s">
        <v>375</v>
      </c>
      <c r="B519" s="8">
        <v>9</v>
      </c>
      <c r="C519" s="8" t="s">
        <v>85</v>
      </c>
      <c r="D519" s="8">
        <v>1</v>
      </c>
      <c r="E519" s="8">
        <v>26</v>
      </c>
      <c r="F519" s="8" t="s">
        <v>27</v>
      </c>
      <c r="G519" s="8" t="s">
        <v>260</v>
      </c>
      <c r="H519" s="8" t="str">
        <f t="shared" ca="1" si="9"/>
        <v>Nm3/h</v>
      </c>
      <c r="I519" s="8" t="s">
        <v>764</v>
      </c>
      <c r="J519" s="8" t="s">
        <v>764</v>
      </c>
      <c r="K519" s="8" t="s">
        <v>764</v>
      </c>
    </row>
    <row r="520" spans="1:11" x14ac:dyDescent="0.35">
      <c r="A520" s="8" t="s">
        <v>375</v>
      </c>
      <c r="B520" s="8">
        <v>9</v>
      </c>
      <c r="C520" s="8" t="s">
        <v>85</v>
      </c>
      <c r="D520" s="8">
        <v>1</v>
      </c>
      <c r="E520" s="8">
        <v>20</v>
      </c>
      <c r="F520" s="8" t="s">
        <v>27</v>
      </c>
      <c r="G520" s="8" t="s">
        <v>260</v>
      </c>
      <c r="H520" s="8" t="str">
        <f t="shared" ca="1" si="9"/>
        <v>m3 CH4/m3 of Liquid</v>
      </c>
      <c r="I520" s="8" t="s">
        <v>679</v>
      </c>
      <c r="J520" s="2" t="s">
        <v>702</v>
      </c>
      <c r="K520" s="16" t="s">
        <v>688</v>
      </c>
    </row>
    <row r="521" spans="1:11" x14ac:dyDescent="0.35">
      <c r="A521" s="8" t="s">
        <v>375</v>
      </c>
      <c r="B521" s="8">
        <v>9</v>
      </c>
      <c r="C521" s="8" t="s">
        <v>85</v>
      </c>
      <c r="D521" s="8">
        <v>1</v>
      </c>
      <c r="E521" s="8">
        <v>21</v>
      </c>
      <c r="F521" s="8" t="s">
        <v>27</v>
      </c>
      <c r="G521" s="8" t="s">
        <v>260</v>
      </c>
      <c r="H521" s="8" t="str">
        <f t="shared" ca="1" si="9"/>
        <v>m3 CH4/m3 of Liquid</v>
      </c>
      <c r="I521" s="8" t="s">
        <v>679</v>
      </c>
      <c r="J521" s="2" t="s">
        <v>702</v>
      </c>
      <c r="K521" s="16" t="s">
        <v>688</v>
      </c>
    </row>
    <row r="522" spans="1:11" x14ac:dyDescent="0.35">
      <c r="A522" s="8" t="s">
        <v>375</v>
      </c>
      <c r="B522" s="8">
        <v>9</v>
      </c>
      <c r="C522" s="8" t="s">
        <v>85</v>
      </c>
      <c r="D522" s="8">
        <v>1</v>
      </c>
      <c r="E522" s="8">
        <v>22</v>
      </c>
      <c r="F522" s="8" t="s">
        <v>27</v>
      </c>
      <c r="G522" s="8" t="s">
        <v>260</v>
      </c>
      <c r="H522" s="8" t="str">
        <f t="shared" ca="1" si="9"/>
        <v>m3 CH4/d/source</v>
      </c>
      <c r="I522" s="8" t="s">
        <v>680</v>
      </c>
      <c r="J522" s="2" t="s">
        <v>703</v>
      </c>
      <c r="K522" s="16" t="s">
        <v>689</v>
      </c>
    </row>
    <row r="523" spans="1:11" x14ac:dyDescent="0.35">
      <c r="A523" s="8" t="s">
        <v>375</v>
      </c>
      <c r="B523" s="8">
        <v>9</v>
      </c>
      <c r="C523" s="8" t="s">
        <v>85</v>
      </c>
      <c r="D523" s="8">
        <v>1</v>
      </c>
      <c r="E523" s="8">
        <v>23</v>
      </c>
      <c r="F523" s="8" t="s">
        <v>27</v>
      </c>
      <c r="G523" s="8" t="s">
        <v>260</v>
      </c>
      <c r="H523" s="8" t="str">
        <f t="shared" ca="1" si="9"/>
        <v>m3 CH4/m3 of Liquid</v>
      </c>
      <c r="I523" s="8" t="s">
        <v>679</v>
      </c>
      <c r="J523" s="2" t="s">
        <v>702</v>
      </c>
      <c r="K523" s="16" t="s">
        <v>688</v>
      </c>
    </row>
    <row r="524" spans="1:11" x14ac:dyDescent="0.35">
      <c r="A524" s="8" t="s">
        <v>375</v>
      </c>
      <c r="B524" s="8">
        <v>9</v>
      </c>
      <c r="C524" s="8" t="s">
        <v>85</v>
      </c>
      <c r="D524" s="8">
        <v>1</v>
      </c>
      <c r="E524" s="8">
        <v>26</v>
      </c>
      <c r="F524" s="8" t="s">
        <v>27</v>
      </c>
      <c r="G524" s="8" t="s">
        <v>260</v>
      </c>
      <c r="H524" s="8" t="str">
        <f t="shared" ca="1" si="9"/>
        <v>Nm3/h</v>
      </c>
      <c r="I524" s="8" t="s">
        <v>764</v>
      </c>
      <c r="J524" s="8" t="s">
        <v>764</v>
      </c>
      <c r="K524" s="8" t="s">
        <v>764</v>
      </c>
    </row>
    <row r="525" spans="1:11" x14ac:dyDescent="0.35">
      <c r="A525" s="8" t="s">
        <v>375</v>
      </c>
      <c r="B525" s="8">
        <v>9</v>
      </c>
      <c r="C525" s="8" t="s">
        <v>85</v>
      </c>
      <c r="D525" s="8">
        <v>1</v>
      </c>
      <c r="E525" s="8">
        <v>27</v>
      </c>
      <c r="F525" s="8" t="s">
        <v>27</v>
      </c>
      <c r="G525" s="8" t="s">
        <v>260</v>
      </c>
      <c r="H525" s="8" t="str">
        <f t="shared" ca="1" si="9"/>
        <v>Nm3/h</v>
      </c>
      <c r="I525" s="8" t="s">
        <v>764</v>
      </c>
      <c r="J525" s="8" t="s">
        <v>764</v>
      </c>
      <c r="K525" s="8" t="s">
        <v>764</v>
      </c>
    </row>
    <row r="526" spans="1:11" x14ac:dyDescent="0.35">
      <c r="A526" s="8" t="s">
        <v>375</v>
      </c>
      <c r="B526" s="8">
        <v>9</v>
      </c>
      <c r="C526" s="8" t="s">
        <v>85</v>
      </c>
      <c r="D526" s="8">
        <v>1</v>
      </c>
      <c r="E526" s="8">
        <v>28</v>
      </c>
      <c r="F526" s="8" t="s">
        <v>27</v>
      </c>
      <c r="G526" s="8" t="s">
        <v>260</v>
      </c>
      <c r="H526" s="8" t="str">
        <f t="shared" ca="1" si="9"/>
        <v>Nm3/h</v>
      </c>
      <c r="I526" s="8" t="s">
        <v>764</v>
      </c>
      <c r="J526" s="8" t="s">
        <v>764</v>
      </c>
      <c r="K526" s="8" t="s">
        <v>764</v>
      </c>
    </row>
    <row r="527" spans="1:11" x14ac:dyDescent="0.35">
      <c r="A527" s="8" t="s">
        <v>375</v>
      </c>
      <c r="B527" s="8">
        <v>9</v>
      </c>
      <c r="C527" s="8" t="s">
        <v>85</v>
      </c>
      <c r="D527" s="8">
        <v>1</v>
      </c>
      <c r="E527" s="8">
        <v>29</v>
      </c>
      <c r="F527" s="8" t="s">
        <v>27</v>
      </c>
      <c r="G527" s="8" t="s">
        <v>260</v>
      </c>
      <c r="H527" s="8" t="str">
        <f t="shared" ca="1" si="9"/>
        <v>Nm3 CH4/h</v>
      </c>
      <c r="I527" s="8" t="s">
        <v>296</v>
      </c>
      <c r="J527" s="8" t="s">
        <v>296</v>
      </c>
      <c r="K527" s="8" t="s">
        <v>296</v>
      </c>
    </row>
    <row r="528" spans="1:11" x14ac:dyDescent="0.35">
      <c r="A528" s="8" t="s">
        <v>375</v>
      </c>
      <c r="B528" s="8">
        <v>9</v>
      </c>
      <c r="C528" s="8" t="s">
        <v>85</v>
      </c>
      <c r="D528" s="8">
        <v>1</v>
      </c>
      <c r="E528" s="8">
        <v>30</v>
      </c>
      <c r="F528" s="8" t="s">
        <v>27</v>
      </c>
      <c r="G528" s="8" t="s">
        <v>260</v>
      </c>
      <c r="H528" s="8" t="str">
        <f t="shared" ca="1" si="9"/>
        <v>Nm3 CH4/h</v>
      </c>
      <c r="I528" s="8" t="s">
        <v>296</v>
      </c>
      <c r="J528" s="8" t="s">
        <v>296</v>
      </c>
      <c r="K528" s="8" t="s">
        <v>296</v>
      </c>
    </row>
    <row r="529" spans="1:11" x14ac:dyDescent="0.35">
      <c r="A529" s="8" t="s">
        <v>375</v>
      </c>
      <c r="B529" s="8">
        <v>9</v>
      </c>
      <c r="C529" s="8" t="s">
        <v>85</v>
      </c>
      <c r="D529" s="8">
        <v>1</v>
      </c>
      <c r="E529" s="8">
        <v>31</v>
      </c>
      <c r="F529" s="8" t="s">
        <v>27</v>
      </c>
      <c r="G529" s="8" t="s">
        <v>260</v>
      </c>
      <c r="H529" s="8" t="str">
        <f t="shared" ca="1" si="9"/>
        <v>Nm3 CH4/h</v>
      </c>
      <c r="I529" s="8" t="s">
        <v>296</v>
      </c>
      <c r="J529" s="8" t="s">
        <v>296</v>
      </c>
      <c r="K529" s="8" t="s">
        <v>296</v>
      </c>
    </row>
    <row r="530" spans="1:11" ht="16.5" x14ac:dyDescent="0.35">
      <c r="A530" s="8" t="s">
        <v>375</v>
      </c>
      <c r="B530" s="8">
        <v>9</v>
      </c>
      <c r="C530" s="8" t="s">
        <v>85</v>
      </c>
      <c r="D530" s="8">
        <v>1</v>
      </c>
      <c r="E530" s="8">
        <v>5</v>
      </c>
      <c r="F530" s="8" t="s">
        <v>246</v>
      </c>
      <c r="G530" s="8" t="s">
        <v>260</v>
      </c>
      <c r="H530" s="8" t="str">
        <f t="shared" ca="1" si="9"/>
        <v>"bbl" to "m3"</v>
      </c>
      <c r="I530" s="1" t="s">
        <v>46</v>
      </c>
      <c r="J530" s="2" t="s">
        <v>653</v>
      </c>
      <c r="K530" s="16" t="s">
        <v>704</v>
      </c>
    </row>
    <row r="531" spans="1:11" ht="16.5" x14ac:dyDescent="0.35">
      <c r="A531" s="8" t="s">
        <v>375</v>
      </c>
      <c r="B531" s="8">
        <v>9</v>
      </c>
      <c r="C531" s="8" t="s">
        <v>85</v>
      </c>
      <c r="D531" s="8">
        <v>1</v>
      </c>
      <c r="E531" s="8">
        <v>6</v>
      </c>
      <c r="F531" s="8" t="s">
        <v>246</v>
      </c>
      <c r="G531" s="8" t="s">
        <v>260</v>
      </c>
      <c r="H531" s="8" t="str">
        <f t="shared" ca="1" si="9"/>
        <v>"lb CH4" to "m3 CH4"</v>
      </c>
      <c r="I531" s="1" t="s">
        <v>127</v>
      </c>
      <c r="J531" s="2" t="s">
        <v>654</v>
      </c>
      <c r="K531" s="16" t="s">
        <v>705</v>
      </c>
    </row>
    <row r="532" spans="1:11" x14ac:dyDescent="0.35">
      <c r="A532" s="8" t="s">
        <v>375</v>
      </c>
      <c r="B532" s="8">
        <v>9</v>
      </c>
      <c r="C532" s="8" t="s">
        <v>85</v>
      </c>
      <c r="D532" s="8">
        <v>1</v>
      </c>
      <c r="E532" s="8">
        <v>7</v>
      </c>
      <c r="F532" s="8" t="s">
        <v>246</v>
      </c>
      <c r="G532" s="8" t="s">
        <v>260</v>
      </c>
      <c r="H532" s="8" t="str">
        <f t="shared" ca="1" si="9"/>
        <v>"lb" to "kg"</v>
      </c>
      <c r="I532" s="1" t="s">
        <v>14</v>
      </c>
      <c r="J532" s="2" t="s">
        <v>655</v>
      </c>
      <c r="K532" s="16" t="s">
        <v>706</v>
      </c>
    </row>
    <row r="533" spans="1:11" ht="16.5" x14ac:dyDescent="0.35">
      <c r="A533" s="8" t="s">
        <v>375</v>
      </c>
      <c r="B533" s="8">
        <v>9</v>
      </c>
      <c r="C533" s="8" t="s">
        <v>85</v>
      </c>
      <c r="D533" s="8">
        <v>1</v>
      </c>
      <c r="E533" s="8">
        <v>8</v>
      </c>
      <c r="F533" s="8" t="s">
        <v>246</v>
      </c>
      <c r="G533" s="8" t="s">
        <v>260</v>
      </c>
      <c r="H533" s="8" t="str">
        <f t="shared" ca="1" si="9"/>
        <v>"m3 CH4" to "tonnes CH4"</v>
      </c>
      <c r="I533" s="3" t="s">
        <v>126</v>
      </c>
      <c r="J533" s="2" t="s">
        <v>762</v>
      </c>
      <c r="K533" s="19" t="s">
        <v>707</v>
      </c>
    </row>
    <row r="534" spans="1:11" ht="16.5" x14ac:dyDescent="0.35">
      <c r="A534" s="8" t="s">
        <v>375</v>
      </c>
      <c r="B534" s="8">
        <v>9</v>
      </c>
      <c r="C534" s="8" t="s">
        <v>85</v>
      </c>
      <c r="D534" s="8">
        <v>1</v>
      </c>
      <c r="E534" s="8">
        <v>9</v>
      </c>
      <c r="F534" s="8" t="s">
        <v>246</v>
      </c>
      <c r="G534" s="8" t="s">
        <v>260</v>
      </c>
      <c r="H534" s="8" t="str">
        <f t="shared" ca="1" si="9"/>
        <v>"m3 CH4/d" to "tonnes CH4/y"</v>
      </c>
      <c r="I534" s="1" t="s">
        <v>125</v>
      </c>
      <c r="J534" s="2" t="s">
        <v>763</v>
      </c>
      <c r="K534" s="16" t="s">
        <v>721</v>
      </c>
    </row>
    <row r="535" spans="1:11" ht="16.5" x14ac:dyDescent="0.35">
      <c r="A535" s="8" t="s">
        <v>375</v>
      </c>
      <c r="B535" s="8">
        <v>9</v>
      </c>
      <c r="C535" s="8" t="s">
        <v>85</v>
      </c>
      <c r="D535" s="8">
        <v>1</v>
      </c>
      <c r="E535" s="8">
        <v>10</v>
      </c>
      <c r="F535" s="8" t="s">
        <v>246</v>
      </c>
      <c r="G535" s="8" t="s">
        <v>260</v>
      </c>
      <c r="H535" s="8" t="str">
        <f t="shared" ca="1" si="9"/>
        <v>"m3/hr/device" to "m3/d/device"</v>
      </c>
      <c r="I535" s="1" t="s">
        <v>124</v>
      </c>
      <c r="J535" s="2" t="s">
        <v>656</v>
      </c>
      <c r="K535" s="16" t="s">
        <v>708</v>
      </c>
    </row>
    <row r="536" spans="1:11" x14ac:dyDescent="0.35">
      <c r="A536" s="8" t="s">
        <v>375</v>
      </c>
      <c r="B536" s="8">
        <v>9</v>
      </c>
      <c r="C536" s="8" t="s">
        <v>85</v>
      </c>
      <c r="D536" s="8">
        <v>1</v>
      </c>
      <c r="E536" s="8">
        <v>11</v>
      </c>
      <c r="F536" s="8" t="s">
        <v>246</v>
      </c>
      <c r="G536" s="8" t="s">
        <v>260</v>
      </c>
      <c r="H536" s="8" t="str">
        <f t="shared" ca="1" si="9"/>
        <v>"mile" to "km"</v>
      </c>
      <c r="I536" s="1" t="s">
        <v>55</v>
      </c>
      <c r="J536" s="2" t="s">
        <v>657</v>
      </c>
      <c r="K536" s="16" t="s">
        <v>709</v>
      </c>
    </row>
    <row r="537" spans="1:11" ht="16.5" x14ac:dyDescent="0.35">
      <c r="A537" s="8" t="s">
        <v>375</v>
      </c>
      <c r="B537" s="8">
        <v>9</v>
      </c>
      <c r="C537" s="8" t="s">
        <v>85</v>
      </c>
      <c r="D537" s="8">
        <v>1</v>
      </c>
      <c r="E537" s="8">
        <v>12</v>
      </c>
      <c r="F537" s="8" t="s">
        <v>246</v>
      </c>
      <c r="G537" s="8" t="s">
        <v>260</v>
      </c>
      <c r="H537" s="8" t="str">
        <f t="shared" ca="1" si="9"/>
        <v>"scf" to "m3"</v>
      </c>
      <c r="I537" s="1" t="s">
        <v>47</v>
      </c>
      <c r="J537" s="2" t="s">
        <v>658</v>
      </c>
      <c r="K537" s="16" t="s">
        <v>710</v>
      </c>
    </row>
    <row r="538" spans="1:11" ht="16.5" x14ac:dyDescent="0.35">
      <c r="A538" s="8" t="s">
        <v>375</v>
      </c>
      <c r="B538" s="8">
        <v>9</v>
      </c>
      <c r="C538" s="8" t="s">
        <v>85</v>
      </c>
      <c r="D538" s="8">
        <v>1</v>
      </c>
      <c r="E538" s="8">
        <v>13</v>
      </c>
      <c r="F538" s="8" t="s">
        <v>246</v>
      </c>
      <c r="G538" s="8" t="s">
        <v>260</v>
      </c>
      <c r="H538" s="8" t="str">
        <f t="shared" ca="1" si="9"/>
        <v>"scf/106 scf gas processed" to "m3/106 m3 gas processed"</v>
      </c>
      <c r="I538" s="1" t="s">
        <v>45</v>
      </c>
      <c r="J538" s="2" t="s">
        <v>659</v>
      </c>
      <c r="K538" s="16" t="s">
        <v>711</v>
      </c>
    </row>
    <row r="539" spans="1:11" x14ac:dyDescent="0.35">
      <c r="A539" s="8" t="s">
        <v>375</v>
      </c>
      <c r="B539" s="8">
        <v>9</v>
      </c>
      <c r="C539" s="8" t="s">
        <v>85</v>
      </c>
      <c r="D539" s="8">
        <v>1</v>
      </c>
      <c r="E539" s="8">
        <v>14</v>
      </c>
      <c r="F539" s="8" t="s">
        <v>246</v>
      </c>
      <c r="G539" s="8" t="s">
        <v>260</v>
      </c>
      <c r="H539" s="8" t="str">
        <f t="shared" ca="1" si="9"/>
        <v>"scf/activity" to "m3/activity"</v>
      </c>
      <c r="I539" s="1" t="s">
        <v>58</v>
      </c>
      <c r="J539" s="2" t="s">
        <v>660</v>
      </c>
      <c r="K539" s="16" t="s">
        <v>712</v>
      </c>
    </row>
    <row r="540" spans="1:11" ht="16.5" x14ac:dyDescent="0.35">
      <c r="A540" s="8" t="s">
        <v>375</v>
      </c>
      <c r="B540" s="8">
        <v>9</v>
      </c>
      <c r="C540" s="8" t="s">
        <v>85</v>
      </c>
      <c r="D540" s="8">
        <v>1</v>
      </c>
      <c r="E540" s="8">
        <v>15</v>
      </c>
      <c r="F540" s="8" t="s">
        <v>246</v>
      </c>
      <c r="G540" s="8" t="s">
        <v>260</v>
      </c>
      <c r="H540" s="8" t="str">
        <f t="shared" ca="1" si="9"/>
        <v>"scf/activity-day" to "m3/activity-day"</v>
      </c>
      <c r="I540" s="1" t="s">
        <v>123</v>
      </c>
      <c r="J540" s="2" t="s">
        <v>661</v>
      </c>
      <c r="K540" s="16" t="s">
        <v>713</v>
      </c>
    </row>
    <row r="541" spans="1:11" ht="16.5" x14ac:dyDescent="0.35">
      <c r="A541" s="8" t="s">
        <v>375</v>
      </c>
      <c r="B541" s="8">
        <v>9</v>
      </c>
      <c r="C541" s="8" t="s">
        <v>85</v>
      </c>
      <c r="D541" s="8">
        <v>1</v>
      </c>
      <c r="E541" s="8">
        <v>16</v>
      </c>
      <c r="F541" s="8" t="s">
        <v>246</v>
      </c>
      <c r="G541" s="8" t="s">
        <v>260</v>
      </c>
      <c r="H541" s="8" t="str">
        <f t="shared" ca="1" si="9"/>
        <v>"scf/d/device" to "m3/d/device"</v>
      </c>
      <c r="I541" s="1" t="s">
        <v>48</v>
      </c>
      <c r="J541" s="2" t="s">
        <v>662</v>
      </c>
      <c r="K541" s="16" t="s">
        <v>714</v>
      </c>
    </row>
    <row r="542" spans="1:11" ht="16.5" x14ac:dyDescent="0.35">
      <c r="A542" s="8" t="s">
        <v>375</v>
      </c>
      <c r="B542" s="8">
        <v>9</v>
      </c>
      <c r="C542" s="8" t="s">
        <v>85</v>
      </c>
      <c r="D542" s="8">
        <v>1</v>
      </c>
      <c r="E542" s="8">
        <v>17</v>
      </c>
      <c r="F542" s="8" t="s">
        <v>246</v>
      </c>
      <c r="G542" s="8" t="s">
        <v>260</v>
      </c>
      <c r="H542" s="8" t="str">
        <f t="shared" ca="1" si="9"/>
        <v>"scf/y/pipeline-mile" to "m3/y/pipeline-km"</v>
      </c>
      <c r="I542" s="1" t="s">
        <v>60</v>
      </c>
      <c r="J542" s="2" t="s">
        <v>663</v>
      </c>
      <c r="K542" s="16" t="s">
        <v>723</v>
      </c>
    </row>
    <row r="543" spans="1:11" ht="16.5" x14ac:dyDescent="0.35">
      <c r="A543" s="8" t="s">
        <v>375</v>
      </c>
      <c r="B543" s="8">
        <v>9</v>
      </c>
      <c r="C543" s="8" t="s">
        <v>85</v>
      </c>
      <c r="D543" s="8">
        <v>1</v>
      </c>
      <c r="E543" s="8">
        <v>18</v>
      </c>
      <c r="F543" s="8" t="s">
        <v>246</v>
      </c>
      <c r="G543" s="8" t="s">
        <v>260</v>
      </c>
      <c r="H543" s="8" t="str">
        <f t="shared" ca="1" si="9"/>
        <v>"scf/y/source" to "m3/y/source"</v>
      </c>
      <c r="I543" s="1" t="s">
        <v>56</v>
      </c>
      <c r="J543" s="2" t="s">
        <v>664</v>
      </c>
      <c r="K543" s="16" t="s">
        <v>724</v>
      </c>
    </row>
    <row r="544" spans="1:11" x14ac:dyDescent="0.35">
      <c r="A544" s="8" t="s">
        <v>375</v>
      </c>
      <c r="B544" s="8">
        <v>9</v>
      </c>
      <c r="C544" s="8" t="s">
        <v>85</v>
      </c>
      <c r="D544" s="8">
        <v>1</v>
      </c>
      <c r="E544" s="8">
        <v>19</v>
      </c>
      <c r="F544" s="8" t="s">
        <v>246</v>
      </c>
      <c r="G544" s="8" t="s">
        <v>260</v>
      </c>
      <c r="H544" s="8" t="str">
        <f t="shared" ca="1" si="9"/>
        <v>"ton" to "tonne"</v>
      </c>
      <c r="I544" s="1" t="s">
        <v>17</v>
      </c>
      <c r="J544" s="2" t="s">
        <v>665</v>
      </c>
      <c r="K544" s="16" t="s">
        <v>715</v>
      </c>
    </row>
    <row r="545" spans="1:11" ht="16.5" x14ac:dyDescent="0.35">
      <c r="A545" s="8" t="s">
        <v>375</v>
      </c>
      <c r="B545" s="8">
        <v>9</v>
      </c>
      <c r="C545" s="8" t="s">
        <v>85</v>
      </c>
      <c r="D545" s="8">
        <v>1</v>
      </c>
      <c r="E545" s="8">
        <v>20</v>
      </c>
      <c r="F545" s="8" t="s">
        <v>246</v>
      </c>
      <c r="G545" s="8" t="s">
        <v>260</v>
      </c>
      <c r="H545" s="8" t="str">
        <f t="shared" ca="1" si="9"/>
        <v>"tonnes CH4/1000 bbl of Liquid" to "m3 CH4/m3 of Liquid"</v>
      </c>
      <c r="I545" s="1" t="s">
        <v>122</v>
      </c>
      <c r="J545" s="2" t="s">
        <v>666</v>
      </c>
      <c r="K545" s="16" t="s">
        <v>716</v>
      </c>
    </row>
    <row r="546" spans="1:11" ht="16.5" x14ac:dyDescent="0.35">
      <c r="A546" s="8" t="s">
        <v>375</v>
      </c>
      <c r="B546" s="8">
        <v>9</v>
      </c>
      <c r="C546" s="8" t="s">
        <v>85</v>
      </c>
      <c r="D546" s="8">
        <v>1</v>
      </c>
      <c r="E546" s="8">
        <v>21</v>
      </c>
      <c r="F546" s="8" t="s">
        <v>246</v>
      </c>
      <c r="G546" s="8" t="s">
        <v>260</v>
      </c>
      <c r="H546" s="8" t="str">
        <f t="shared" ca="1" si="9"/>
        <v>"tonnes CH4/bbl of Liquid" to "m3 CH4/m3 of Liquid"</v>
      </c>
      <c r="I546" s="1" t="s">
        <v>119</v>
      </c>
      <c r="J546" s="2" t="s">
        <v>667</v>
      </c>
      <c r="K546" s="16" t="s">
        <v>717</v>
      </c>
    </row>
    <row r="547" spans="1:11" ht="16.5" x14ac:dyDescent="0.35">
      <c r="A547" s="8" t="s">
        <v>375</v>
      </c>
      <c r="B547" s="8">
        <v>9</v>
      </c>
      <c r="C547" s="8" t="s">
        <v>85</v>
      </c>
      <c r="D547" s="8">
        <v>1</v>
      </c>
      <c r="E547" s="8">
        <v>22</v>
      </c>
      <c r="F547" s="8" t="s">
        <v>246</v>
      </c>
      <c r="G547" s="8" t="s">
        <v>260</v>
      </c>
      <c r="H547" s="8" t="str">
        <f t="shared" ca="1" si="9"/>
        <v>"tonnes CH4/d/source" to "m3 CH4/d/source"</v>
      </c>
      <c r="I547" s="1" t="s">
        <v>120</v>
      </c>
      <c r="J547" s="2" t="s">
        <v>668</v>
      </c>
      <c r="K547" s="16" t="s">
        <v>718</v>
      </c>
    </row>
    <row r="548" spans="1:11" ht="16.5" x14ac:dyDescent="0.35">
      <c r="A548" s="8" t="s">
        <v>375</v>
      </c>
      <c r="B548" s="8">
        <v>9</v>
      </c>
      <c r="C548" s="8" t="s">
        <v>85</v>
      </c>
      <c r="D548" s="8">
        <v>1</v>
      </c>
      <c r="E548" s="8">
        <v>23</v>
      </c>
      <c r="F548" s="8" t="s">
        <v>246</v>
      </c>
      <c r="G548" s="8" t="s">
        <v>260</v>
      </c>
      <c r="H548" s="8" t="str">
        <f t="shared" ca="1" si="9"/>
        <v>"tonnes CH4/m3 of Liquid" to "m3 CH4/m3 of Liquid"</v>
      </c>
      <c r="I548" s="1" t="s">
        <v>121</v>
      </c>
      <c r="J548" s="2" t="s">
        <v>669</v>
      </c>
      <c r="K548" s="16" t="s">
        <v>719</v>
      </c>
    </row>
    <row r="549" spans="1:11" x14ac:dyDescent="0.35">
      <c r="A549" s="8" t="s">
        <v>375</v>
      </c>
      <c r="B549" s="8">
        <v>9</v>
      </c>
      <c r="C549" s="8" t="s">
        <v>85</v>
      </c>
      <c r="D549" s="8">
        <v>1</v>
      </c>
      <c r="E549" s="8">
        <v>24</v>
      </c>
      <c r="F549" s="8" t="s">
        <v>246</v>
      </c>
      <c r="G549" s="8" t="s">
        <v>260</v>
      </c>
      <c r="H549" s="8" t="str">
        <f t="shared" ca="1" si="9"/>
        <v>None</v>
      </c>
      <c r="I549" s="1" t="s">
        <v>6</v>
      </c>
      <c r="J549" s="2" t="s">
        <v>670</v>
      </c>
      <c r="K549" s="16" t="s">
        <v>720</v>
      </c>
    </row>
    <row r="550" spans="1:11" x14ac:dyDescent="0.35">
      <c r="A550" s="8" t="s">
        <v>375</v>
      </c>
      <c r="B550" s="8">
        <v>9</v>
      </c>
      <c r="C550" s="8" t="s">
        <v>94</v>
      </c>
      <c r="D550" s="8">
        <v>2</v>
      </c>
      <c r="E550" s="8">
        <v>28</v>
      </c>
      <c r="F550" s="8" t="s">
        <v>243</v>
      </c>
      <c r="G550" s="8" t="s">
        <v>242</v>
      </c>
      <c r="H550" s="8" t="str">
        <f t="shared" ca="1" si="9"/>
        <v>Leak Control Factor Look-up Table</v>
      </c>
      <c r="I550" s="8" t="s">
        <v>94</v>
      </c>
      <c r="J550" s="8" t="s">
        <v>418</v>
      </c>
      <c r="K550" s="16" t="s">
        <v>571</v>
      </c>
    </row>
    <row r="551" spans="1:11" x14ac:dyDescent="0.35">
      <c r="A551" s="8" t="s">
        <v>375</v>
      </c>
      <c r="B551" s="8">
        <v>9</v>
      </c>
      <c r="C551" s="8" t="s">
        <v>94</v>
      </c>
      <c r="D551" s="8">
        <v>2</v>
      </c>
      <c r="E551" s="8">
        <v>30</v>
      </c>
      <c r="F551" s="8" t="s">
        <v>243</v>
      </c>
      <c r="G551" s="8" t="s">
        <v>249</v>
      </c>
      <c r="H551" s="8" t="str">
        <f t="shared" ca="1" si="9"/>
        <v>Equipment Type</v>
      </c>
      <c r="I551" s="2" t="s">
        <v>61</v>
      </c>
      <c r="J551" s="2" t="s">
        <v>426</v>
      </c>
      <c r="K551" s="16" t="s">
        <v>572</v>
      </c>
    </row>
    <row r="552" spans="1:11" x14ac:dyDescent="0.35">
      <c r="A552" s="8" t="s">
        <v>375</v>
      </c>
      <c r="B552" s="8">
        <v>9</v>
      </c>
      <c r="C552" s="8" t="s">
        <v>94</v>
      </c>
      <c r="D552" s="8">
        <v>2</v>
      </c>
      <c r="E552" s="8">
        <v>30</v>
      </c>
      <c r="F552" s="8" t="s">
        <v>27</v>
      </c>
      <c r="G552" s="8" t="s">
        <v>249</v>
      </c>
      <c r="H552" s="8" t="str">
        <f t="shared" ca="1" si="9"/>
        <v>Modification</v>
      </c>
      <c r="I552" s="2" t="s">
        <v>71</v>
      </c>
      <c r="J552" s="2" t="s">
        <v>427</v>
      </c>
      <c r="K552" s="16" t="s">
        <v>525</v>
      </c>
    </row>
    <row r="553" spans="1:11" x14ac:dyDescent="0.35">
      <c r="A553" s="8" t="s">
        <v>375</v>
      </c>
      <c r="B553" s="8">
        <v>9</v>
      </c>
      <c r="C553" s="8" t="s">
        <v>94</v>
      </c>
      <c r="D553" s="8">
        <v>2</v>
      </c>
      <c r="E553" s="8">
        <v>30</v>
      </c>
      <c r="F553" s="8" t="s">
        <v>245</v>
      </c>
      <c r="G553" s="8" t="s">
        <v>249</v>
      </c>
      <c r="H553" s="8" t="str">
        <f t="shared" ca="1" si="9"/>
        <v>Control Efficiency</v>
      </c>
      <c r="I553" s="2" t="s">
        <v>72</v>
      </c>
      <c r="J553" s="2" t="s">
        <v>428</v>
      </c>
      <c r="K553" s="16" t="s">
        <v>573</v>
      </c>
    </row>
    <row r="554" spans="1:11" x14ac:dyDescent="0.35">
      <c r="A554" s="8" t="s">
        <v>375</v>
      </c>
      <c r="B554" s="8">
        <v>9</v>
      </c>
      <c r="C554" s="8" t="s">
        <v>94</v>
      </c>
      <c r="D554" s="8">
        <v>2</v>
      </c>
      <c r="E554" s="8">
        <v>32</v>
      </c>
      <c r="F554" s="8" t="s">
        <v>243</v>
      </c>
      <c r="G554" s="8" t="s">
        <v>260</v>
      </c>
      <c r="H554" s="8" t="str">
        <f t="shared" ca="1" si="9"/>
        <v>Compressor Crankcase Vent</v>
      </c>
      <c r="I554" s="2" t="s">
        <v>68</v>
      </c>
      <c r="J554" s="2" t="s">
        <v>471</v>
      </c>
      <c r="K554" s="16" t="s">
        <v>574</v>
      </c>
    </row>
    <row r="555" spans="1:11" x14ac:dyDescent="0.35">
      <c r="A555" s="8" t="s">
        <v>375</v>
      </c>
      <c r="B555" s="8">
        <v>9</v>
      </c>
      <c r="C555" s="8" t="s">
        <v>94</v>
      </c>
      <c r="D555" s="8">
        <v>2</v>
      </c>
      <c r="E555" s="8">
        <v>33</v>
      </c>
      <c r="F555" s="8" t="s">
        <v>243</v>
      </c>
      <c r="G555" s="8" t="s">
        <v>260</v>
      </c>
      <c r="H555" s="8" t="str">
        <f t="shared" ca="1" si="9"/>
        <v>Compressor Crankcase Vent</v>
      </c>
      <c r="I555" s="2" t="s">
        <v>68</v>
      </c>
      <c r="J555" s="2" t="s">
        <v>471</v>
      </c>
      <c r="K555" s="16" t="s">
        <v>574</v>
      </c>
    </row>
    <row r="556" spans="1:11" x14ac:dyDescent="0.35">
      <c r="A556" s="8" t="s">
        <v>375</v>
      </c>
      <c r="B556" s="8">
        <v>9</v>
      </c>
      <c r="C556" s="8" t="s">
        <v>94</v>
      </c>
      <c r="D556" s="8">
        <v>2</v>
      </c>
      <c r="E556" s="8">
        <v>34</v>
      </c>
      <c r="F556" s="8" t="s">
        <v>243</v>
      </c>
      <c r="G556" s="8" t="s">
        <v>260</v>
      </c>
      <c r="H556" s="8" t="str">
        <f t="shared" ca="1" si="9"/>
        <v>Compressor Seals</v>
      </c>
      <c r="I556" s="2" t="s">
        <v>64</v>
      </c>
      <c r="J556" s="2" t="s">
        <v>472</v>
      </c>
      <c r="K556" s="16" t="s">
        <v>575</v>
      </c>
    </row>
    <row r="557" spans="1:11" x14ac:dyDescent="0.35">
      <c r="A557" s="8" t="s">
        <v>375</v>
      </c>
      <c r="B557" s="8">
        <v>9</v>
      </c>
      <c r="C557" s="8" t="s">
        <v>94</v>
      </c>
      <c r="D557" s="8">
        <v>2</v>
      </c>
      <c r="E557" s="8">
        <v>35</v>
      </c>
      <c r="F557" s="8" t="s">
        <v>243</v>
      </c>
      <c r="G557" s="8" t="s">
        <v>260</v>
      </c>
      <c r="H557" s="8" t="str">
        <f t="shared" ca="1" si="9"/>
        <v>Compressor Seals</v>
      </c>
      <c r="I557" s="2" t="s">
        <v>64</v>
      </c>
      <c r="J557" s="2" t="s">
        <v>472</v>
      </c>
      <c r="K557" s="16" t="s">
        <v>575</v>
      </c>
    </row>
    <row r="558" spans="1:11" x14ac:dyDescent="0.35">
      <c r="A558" s="8" t="s">
        <v>375</v>
      </c>
      <c r="B558" s="8">
        <v>9</v>
      </c>
      <c r="C558" s="8" t="s">
        <v>94</v>
      </c>
      <c r="D558" s="8">
        <v>2</v>
      </c>
      <c r="E558" s="8">
        <v>36</v>
      </c>
      <c r="F558" s="8" t="s">
        <v>243</v>
      </c>
      <c r="G558" s="8" t="s">
        <v>260</v>
      </c>
      <c r="H558" s="8" t="str">
        <f t="shared" ca="1" si="9"/>
        <v>Compressor Seals</v>
      </c>
      <c r="I558" s="2" t="s">
        <v>64</v>
      </c>
      <c r="J558" s="2" t="s">
        <v>472</v>
      </c>
      <c r="K558" s="16" t="s">
        <v>575</v>
      </c>
    </row>
    <row r="559" spans="1:11" x14ac:dyDescent="0.35">
      <c r="A559" s="8" t="s">
        <v>375</v>
      </c>
      <c r="B559" s="8">
        <v>9</v>
      </c>
      <c r="C559" s="8" t="s">
        <v>94</v>
      </c>
      <c r="D559" s="8">
        <v>2</v>
      </c>
      <c r="E559" s="8">
        <v>37</v>
      </c>
      <c r="F559" s="8" t="s">
        <v>243</v>
      </c>
      <c r="G559" s="8" t="s">
        <v>260</v>
      </c>
      <c r="H559" s="8" t="str">
        <f t="shared" ref="H559:H628" ca="1" si="10">IF(INDIRECT($C$1&amp;ROW())="","",INDIRECT($C$1&amp;ROW()))</f>
        <v>Connectors</v>
      </c>
      <c r="I559" s="2" t="s">
        <v>65</v>
      </c>
      <c r="J559" s="2" t="s">
        <v>292</v>
      </c>
      <c r="K559" s="16" t="s">
        <v>513</v>
      </c>
    </row>
    <row r="560" spans="1:11" x14ac:dyDescent="0.35">
      <c r="A560" s="8" t="s">
        <v>375</v>
      </c>
      <c r="B560" s="8">
        <v>9</v>
      </c>
      <c r="C560" s="8" t="s">
        <v>94</v>
      </c>
      <c r="D560" s="8">
        <v>2</v>
      </c>
      <c r="E560" s="8">
        <v>38</v>
      </c>
      <c r="F560" s="8" t="s">
        <v>243</v>
      </c>
      <c r="G560" s="8" t="s">
        <v>260</v>
      </c>
      <c r="H560" s="8" t="str">
        <f t="shared" ca="1" si="10"/>
        <v>Connectors</v>
      </c>
      <c r="I560" s="2" t="s">
        <v>65</v>
      </c>
      <c r="J560" s="2" t="s">
        <v>292</v>
      </c>
      <c r="K560" s="16" t="s">
        <v>513</v>
      </c>
    </row>
    <row r="561" spans="1:11" x14ac:dyDescent="0.35">
      <c r="A561" s="8" t="s">
        <v>375</v>
      </c>
      <c r="B561" s="8">
        <v>9</v>
      </c>
      <c r="C561" s="8" t="s">
        <v>94</v>
      </c>
      <c r="D561" s="8">
        <v>2</v>
      </c>
      <c r="E561" s="8">
        <v>39</v>
      </c>
      <c r="F561" s="8" t="s">
        <v>243</v>
      </c>
      <c r="G561" s="8" t="s">
        <v>260</v>
      </c>
      <c r="H561" s="8" t="str">
        <f t="shared" ca="1" si="10"/>
        <v>Drains</v>
      </c>
      <c r="I561" s="2" t="s">
        <v>67</v>
      </c>
      <c r="J561" s="12" t="s">
        <v>391</v>
      </c>
      <c r="K561" s="16" t="s">
        <v>516</v>
      </c>
    </row>
    <row r="562" spans="1:11" x14ac:dyDescent="0.35">
      <c r="A562" s="8" t="s">
        <v>375</v>
      </c>
      <c r="B562" s="8">
        <v>9</v>
      </c>
      <c r="C562" s="8" t="s">
        <v>94</v>
      </c>
      <c r="D562" s="8">
        <v>2</v>
      </c>
      <c r="E562" s="8">
        <v>40</v>
      </c>
      <c r="F562" s="8" t="s">
        <v>243</v>
      </c>
      <c r="G562" s="8" t="s">
        <v>260</v>
      </c>
      <c r="H562" s="8" t="str">
        <f t="shared" ca="1" si="10"/>
        <v>Drains</v>
      </c>
      <c r="I562" s="2" t="s">
        <v>67</v>
      </c>
      <c r="J562" s="12" t="s">
        <v>391</v>
      </c>
      <c r="K562" s="16" t="s">
        <v>516</v>
      </c>
    </row>
    <row r="563" spans="1:11" x14ac:dyDescent="0.35">
      <c r="A563" s="8" t="s">
        <v>375</v>
      </c>
      <c r="B563" s="8">
        <v>9</v>
      </c>
      <c r="C563" s="8" t="s">
        <v>94</v>
      </c>
      <c r="D563" s="8">
        <v>2</v>
      </c>
      <c r="E563" s="8">
        <v>41</v>
      </c>
      <c r="F563" s="8" t="s">
        <v>243</v>
      </c>
      <c r="G563" s="8" t="s">
        <v>260</v>
      </c>
      <c r="H563" s="8" t="str">
        <f t="shared" ca="1" si="10"/>
        <v>Open-Ended Lines</v>
      </c>
      <c r="I563" s="2" t="s">
        <v>81</v>
      </c>
      <c r="J563" s="12" t="s">
        <v>293</v>
      </c>
      <c r="K563" s="16" t="s">
        <v>514</v>
      </c>
    </row>
    <row r="564" spans="1:11" x14ac:dyDescent="0.35">
      <c r="A564" s="8" t="s">
        <v>375</v>
      </c>
      <c r="B564" s="8">
        <v>9</v>
      </c>
      <c r="C564" s="8" t="s">
        <v>94</v>
      </c>
      <c r="D564" s="8">
        <v>2</v>
      </c>
      <c r="E564" s="8">
        <v>42</v>
      </c>
      <c r="F564" s="8" t="s">
        <v>243</v>
      </c>
      <c r="G564" s="8" t="s">
        <v>260</v>
      </c>
      <c r="H564" s="8" t="str">
        <f t="shared" ca="1" si="10"/>
        <v>Open-Ended Lines</v>
      </c>
      <c r="I564" s="2" t="s">
        <v>81</v>
      </c>
      <c r="J564" s="12" t="s">
        <v>293</v>
      </c>
      <c r="K564" s="16" t="s">
        <v>514</v>
      </c>
    </row>
    <row r="565" spans="1:11" x14ac:dyDescent="0.35">
      <c r="A565" s="8" t="s">
        <v>375</v>
      </c>
      <c r="B565" s="8">
        <v>9</v>
      </c>
      <c r="C565" s="8" t="s">
        <v>94</v>
      </c>
      <c r="D565" s="8">
        <v>2</v>
      </c>
      <c r="E565" s="8">
        <v>43</v>
      </c>
      <c r="F565" s="8" t="s">
        <v>243</v>
      </c>
      <c r="G565" s="8" t="s">
        <v>260</v>
      </c>
      <c r="H565" s="8" t="str">
        <f t="shared" ca="1" si="10"/>
        <v>Others</v>
      </c>
      <c r="I565" s="2" t="s">
        <v>70</v>
      </c>
      <c r="J565" s="2" t="s">
        <v>295</v>
      </c>
      <c r="K565" s="16" t="s">
        <v>517</v>
      </c>
    </row>
    <row r="566" spans="1:11" x14ac:dyDescent="0.35">
      <c r="A566" s="8" t="s">
        <v>375</v>
      </c>
      <c r="B566" s="8">
        <v>9</v>
      </c>
      <c r="C566" s="8" t="s">
        <v>94</v>
      </c>
      <c r="D566" s="8">
        <v>2</v>
      </c>
      <c r="E566" s="8">
        <v>44</v>
      </c>
      <c r="F566" s="8" t="s">
        <v>243</v>
      </c>
      <c r="G566" s="8" t="s">
        <v>260</v>
      </c>
      <c r="H566" s="8" t="str">
        <f t="shared" ca="1" si="10"/>
        <v>Pressure Relief Devices</v>
      </c>
      <c r="I566" s="2" t="s">
        <v>77</v>
      </c>
      <c r="J566" s="2" t="s">
        <v>473</v>
      </c>
      <c r="K566" s="16" t="s">
        <v>576</v>
      </c>
    </row>
    <row r="567" spans="1:11" x14ac:dyDescent="0.35">
      <c r="A567" s="8" t="s">
        <v>375</v>
      </c>
      <c r="B567" s="8">
        <v>9</v>
      </c>
      <c r="C567" s="8" t="s">
        <v>94</v>
      </c>
      <c r="D567" s="8">
        <v>2</v>
      </c>
      <c r="E567" s="8">
        <v>45</v>
      </c>
      <c r="F567" s="8" t="s">
        <v>243</v>
      </c>
      <c r="G567" s="8" t="s">
        <v>260</v>
      </c>
      <c r="H567" s="8" t="str">
        <f t="shared" ca="1" si="10"/>
        <v>Pressure Relief Devices</v>
      </c>
      <c r="I567" s="2" t="s">
        <v>77</v>
      </c>
      <c r="J567" s="2" t="s">
        <v>473</v>
      </c>
      <c r="K567" s="16" t="s">
        <v>576</v>
      </c>
    </row>
    <row r="568" spans="1:11" x14ac:dyDescent="0.35">
      <c r="A568" s="8" t="s">
        <v>375</v>
      </c>
      <c r="B568" s="8">
        <v>9</v>
      </c>
      <c r="C568" s="8" t="s">
        <v>94</v>
      </c>
      <c r="D568" s="8">
        <v>2</v>
      </c>
      <c r="E568" s="8">
        <v>46</v>
      </c>
      <c r="F568" s="8" t="s">
        <v>243</v>
      </c>
      <c r="G568" s="8" t="s">
        <v>260</v>
      </c>
      <c r="H568" s="8" t="str">
        <f t="shared" ca="1" si="10"/>
        <v>Pressure Relief Devices</v>
      </c>
      <c r="I568" s="2" t="s">
        <v>77</v>
      </c>
      <c r="J568" s="2" t="s">
        <v>473</v>
      </c>
      <c r="K568" s="16" t="s">
        <v>576</v>
      </c>
    </row>
    <row r="569" spans="1:11" x14ac:dyDescent="0.35">
      <c r="A569" s="8" t="s">
        <v>375</v>
      </c>
      <c r="B569" s="8">
        <v>9</v>
      </c>
      <c r="C569" s="8" t="s">
        <v>94</v>
      </c>
      <c r="D569" s="8">
        <v>2</v>
      </c>
      <c r="E569" s="8">
        <v>47</v>
      </c>
      <c r="F569" s="8" t="s">
        <v>243</v>
      </c>
      <c r="G569" s="8" t="s">
        <v>260</v>
      </c>
      <c r="H569" s="8" t="str">
        <f t="shared" ca="1" si="10"/>
        <v>Pumps</v>
      </c>
      <c r="I569" s="2" t="s">
        <v>73</v>
      </c>
      <c r="J569" s="2" t="s">
        <v>474</v>
      </c>
      <c r="K569" s="16" t="s">
        <v>577</v>
      </c>
    </row>
    <row r="570" spans="1:11" x14ac:dyDescent="0.35">
      <c r="A570" s="8" t="s">
        <v>375</v>
      </c>
      <c r="B570" s="8">
        <v>9</v>
      </c>
      <c r="C570" s="8" t="s">
        <v>94</v>
      </c>
      <c r="D570" s="8">
        <v>2</v>
      </c>
      <c r="E570" s="8">
        <v>48</v>
      </c>
      <c r="F570" s="8" t="s">
        <v>243</v>
      </c>
      <c r="G570" s="8" t="s">
        <v>260</v>
      </c>
      <c r="H570" s="8" t="str">
        <f t="shared" ca="1" si="10"/>
        <v>Pumps</v>
      </c>
      <c r="I570" s="2" t="s">
        <v>73</v>
      </c>
      <c r="J570" s="2" t="s">
        <v>474</v>
      </c>
      <c r="K570" s="16" t="s">
        <v>577</v>
      </c>
    </row>
    <row r="571" spans="1:11" x14ac:dyDescent="0.35">
      <c r="A571" s="8" t="s">
        <v>375</v>
      </c>
      <c r="B571" s="8">
        <v>9</v>
      </c>
      <c r="C571" s="8" t="s">
        <v>94</v>
      </c>
      <c r="D571" s="8">
        <v>2</v>
      </c>
      <c r="E571" s="8">
        <v>49</v>
      </c>
      <c r="F571" s="8" t="s">
        <v>243</v>
      </c>
      <c r="G571" s="8" t="s">
        <v>260</v>
      </c>
      <c r="H571" s="8" t="str">
        <f t="shared" ca="1" si="10"/>
        <v>Pumps</v>
      </c>
      <c r="I571" s="2" t="s">
        <v>73</v>
      </c>
      <c r="J571" s="2" t="s">
        <v>474</v>
      </c>
      <c r="K571" s="16" t="s">
        <v>577</v>
      </c>
    </row>
    <row r="572" spans="1:11" x14ac:dyDescent="0.35">
      <c r="A572" s="8" t="s">
        <v>375</v>
      </c>
      <c r="B572" s="8">
        <v>9</v>
      </c>
      <c r="C572" s="8" t="s">
        <v>94</v>
      </c>
      <c r="D572" s="8">
        <v>2</v>
      </c>
      <c r="E572" s="8">
        <v>50</v>
      </c>
      <c r="F572" s="8" t="s">
        <v>243</v>
      </c>
      <c r="G572" s="8" t="s">
        <v>260</v>
      </c>
      <c r="H572" s="8" t="str">
        <f t="shared" ca="1" si="10"/>
        <v>Pumps</v>
      </c>
      <c r="I572" s="2" t="s">
        <v>73</v>
      </c>
      <c r="J572" s="2" t="s">
        <v>474</v>
      </c>
      <c r="K572" s="16" t="s">
        <v>577</v>
      </c>
    </row>
    <row r="573" spans="1:11" x14ac:dyDescent="0.35">
      <c r="A573" s="8" t="s">
        <v>375</v>
      </c>
      <c r="B573" s="8">
        <v>9</v>
      </c>
      <c r="C573" s="8" t="s">
        <v>94</v>
      </c>
      <c r="D573" s="8">
        <v>2</v>
      </c>
      <c r="E573" s="8">
        <v>51</v>
      </c>
      <c r="F573" s="8" t="s">
        <v>243</v>
      </c>
      <c r="G573" s="8" t="s">
        <v>260</v>
      </c>
      <c r="H573" s="8" t="str">
        <f t="shared" ca="1" si="10"/>
        <v>Regulators</v>
      </c>
      <c r="I573" s="2" t="s">
        <v>69</v>
      </c>
      <c r="J573" s="2" t="s">
        <v>475</v>
      </c>
      <c r="K573" s="16" t="s">
        <v>512</v>
      </c>
    </row>
    <row r="574" spans="1:11" x14ac:dyDescent="0.35">
      <c r="A574" s="8" t="s">
        <v>375</v>
      </c>
      <c r="B574" s="8">
        <v>9</v>
      </c>
      <c r="C574" s="8" t="s">
        <v>94</v>
      </c>
      <c r="D574" s="8">
        <v>2</v>
      </c>
      <c r="E574" s="8">
        <v>52</v>
      </c>
      <c r="F574" s="8" t="s">
        <v>243</v>
      </c>
      <c r="G574" s="8" t="s">
        <v>260</v>
      </c>
      <c r="H574" s="8" t="str">
        <f t="shared" ca="1" si="10"/>
        <v>Sampling Connections</v>
      </c>
      <c r="I574" s="2" t="s">
        <v>66</v>
      </c>
      <c r="J574" s="2" t="s">
        <v>294</v>
      </c>
      <c r="K574" s="16" t="s">
        <v>515</v>
      </c>
    </row>
    <row r="575" spans="1:11" x14ac:dyDescent="0.35">
      <c r="A575" s="8" t="s">
        <v>375</v>
      </c>
      <c r="B575" s="8">
        <v>9</v>
      </c>
      <c r="C575" s="8" t="s">
        <v>94</v>
      </c>
      <c r="D575" s="8">
        <v>2</v>
      </c>
      <c r="E575" s="8">
        <v>53</v>
      </c>
      <c r="F575" s="8" t="s">
        <v>243</v>
      </c>
      <c r="G575" s="8" t="s">
        <v>260</v>
      </c>
      <c r="H575" s="8" t="str">
        <f t="shared" ca="1" si="10"/>
        <v>Sampling Connections</v>
      </c>
      <c r="I575" s="2" t="s">
        <v>66</v>
      </c>
      <c r="J575" s="2" t="s">
        <v>294</v>
      </c>
      <c r="K575" s="16" t="s">
        <v>515</v>
      </c>
    </row>
    <row r="576" spans="1:11" x14ac:dyDescent="0.35">
      <c r="A576" s="8" t="s">
        <v>375</v>
      </c>
      <c r="B576" s="8">
        <v>9</v>
      </c>
      <c r="C576" s="8" t="s">
        <v>94</v>
      </c>
      <c r="D576" s="8">
        <v>2</v>
      </c>
      <c r="E576" s="8">
        <v>54</v>
      </c>
      <c r="F576" s="8" t="s">
        <v>243</v>
      </c>
      <c r="G576" s="8" t="s">
        <v>260</v>
      </c>
      <c r="H576" s="8" t="str">
        <f t="shared" ca="1" si="10"/>
        <v>Valves</v>
      </c>
      <c r="I576" s="2" t="s">
        <v>63</v>
      </c>
      <c r="J576" s="2" t="s">
        <v>291</v>
      </c>
      <c r="K576" s="16" t="s">
        <v>511</v>
      </c>
    </row>
    <row r="577" spans="1:11" x14ac:dyDescent="0.35">
      <c r="A577" s="8" t="s">
        <v>375</v>
      </c>
      <c r="B577" s="8">
        <v>9</v>
      </c>
      <c r="C577" s="8" t="s">
        <v>94</v>
      </c>
      <c r="D577" s="8">
        <v>2</v>
      </c>
      <c r="E577" s="8">
        <v>55</v>
      </c>
      <c r="F577" s="8" t="s">
        <v>243</v>
      </c>
      <c r="G577" s="8" t="s">
        <v>260</v>
      </c>
      <c r="H577" s="8" t="str">
        <f t="shared" ca="1" si="10"/>
        <v>Valves</v>
      </c>
      <c r="I577" s="2" t="s">
        <v>63</v>
      </c>
      <c r="J577" s="2" t="s">
        <v>291</v>
      </c>
      <c r="K577" s="16" t="s">
        <v>511</v>
      </c>
    </row>
    <row r="578" spans="1:11" x14ac:dyDescent="0.35">
      <c r="A578" s="8" t="s">
        <v>375</v>
      </c>
      <c r="B578" s="8">
        <v>9</v>
      </c>
      <c r="C578" s="8" t="s">
        <v>94</v>
      </c>
      <c r="D578" s="8">
        <v>2</v>
      </c>
      <c r="E578" s="8">
        <v>32</v>
      </c>
      <c r="F578" s="8" t="s">
        <v>27</v>
      </c>
      <c r="G578" s="8" t="s">
        <v>260</v>
      </c>
      <c r="H578" s="8" t="str">
        <f t="shared" ca="1" si="10"/>
        <v>Closed -vent System</v>
      </c>
      <c r="I578" s="2" t="s">
        <v>76</v>
      </c>
      <c r="J578" s="2" t="s">
        <v>465</v>
      </c>
      <c r="K578" s="16" t="s">
        <v>578</v>
      </c>
    </row>
    <row r="579" spans="1:11" x14ac:dyDescent="0.35">
      <c r="A579" s="8" t="s">
        <v>375</v>
      </c>
      <c r="B579" s="8">
        <v>9</v>
      </c>
      <c r="C579" s="8" t="s">
        <v>94</v>
      </c>
      <c r="D579" s="8">
        <v>2</v>
      </c>
      <c r="E579" s="8">
        <v>33</v>
      </c>
      <c r="F579" s="8" t="s">
        <v>27</v>
      </c>
      <c r="G579" s="8" t="s">
        <v>260</v>
      </c>
      <c r="H579" s="8" t="str">
        <f t="shared" ca="1" si="10"/>
        <v>None</v>
      </c>
      <c r="I579" s="2" t="s">
        <v>6</v>
      </c>
      <c r="J579" s="2" t="s">
        <v>464</v>
      </c>
      <c r="K579" s="16" t="s">
        <v>579</v>
      </c>
    </row>
    <row r="580" spans="1:11" x14ac:dyDescent="0.35">
      <c r="A580" s="8" t="s">
        <v>375</v>
      </c>
      <c r="B580" s="8">
        <v>9</v>
      </c>
      <c r="C580" s="8" t="s">
        <v>94</v>
      </c>
      <c r="D580" s="8">
        <v>2</v>
      </c>
      <c r="E580" s="8">
        <v>34</v>
      </c>
      <c r="F580" s="8" t="s">
        <v>27</v>
      </c>
      <c r="G580" s="8" t="s">
        <v>260</v>
      </c>
      <c r="H580" s="8" t="str">
        <f t="shared" ca="1" si="10"/>
        <v>Closed -vent System</v>
      </c>
      <c r="I580" s="2" t="s">
        <v>76</v>
      </c>
      <c r="J580" s="2" t="s">
        <v>465</v>
      </c>
      <c r="K580" s="16" t="s">
        <v>578</v>
      </c>
    </row>
    <row r="581" spans="1:11" x14ac:dyDescent="0.35">
      <c r="A581" s="8" t="s">
        <v>375</v>
      </c>
      <c r="B581" s="8">
        <v>9</v>
      </c>
      <c r="C581" s="8" t="s">
        <v>94</v>
      </c>
      <c r="D581" s="8">
        <v>2</v>
      </c>
      <c r="E581" s="8">
        <v>35</v>
      </c>
      <c r="F581" s="8" t="s">
        <v>27</v>
      </c>
      <c r="G581" s="8" t="s">
        <v>260</v>
      </c>
      <c r="H581" s="8" t="str">
        <f t="shared" ca="1" si="10"/>
        <v>Dual Mechanical Seals With Barrier Fluid System</v>
      </c>
      <c r="I581" s="2" t="s">
        <v>75</v>
      </c>
      <c r="J581" s="2" t="s">
        <v>466</v>
      </c>
      <c r="K581" s="16" t="s">
        <v>580</v>
      </c>
    </row>
    <row r="582" spans="1:11" x14ac:dyDescent="0.35">
      <c r="A582" s="8" t="s">
        <v>375</v>
      </c>
      <c r="B582" s="8">
        <v>9</v>
      </c>
      <c r="C582" s="8" t="s">
        <v>94</v>
      </c>
      <c r="D582" s="8">
        <v>2</v>
      </c>
      <c r="E582" s="8">
        <v>36</v>
      </c>
      <c r="F582" s="8" t="s">
        <v>27</v>
      </c>
      <c r="G582" s="8" t="s">
        <v>260</v>
      </c>
      <c r="H582" s="8" t="str">
        <f t="shared" ca="1" si="10"/>
        <v>None</v>
      </c>
      <c r="I582" s="2" t="s">
        <v>6</v>
      </c>
      <c r="J582" s="2" t="s">
        <v>464</v>
      </c>
      <c r="K582" s="16" t="s">
        <v>579</v>
      </c>
    </row>
    <row r="583" spans="1:11" x14ac:dyDescent="0.35">
      <c r="A583" s="8" t="s">
        <v>375</v>
      </c>
      <c r="B583" s="8">
        <v>9</v>
      </c>
      <c r="C583" s="8" t="s">
        <v>94</v>
      </c>
      <c r="D583" s="8">
        <v>2</v>
      </c>
      <c r="E583" s="8">
        <v>37</v>
      </c>
      <c r="F583" s="8" t="s">
        <v>27</v>
      </c>
      <c r="G583" s="8" t="s">
        <v>260</v>
      </c>
      <c r="H583" s="8" t="str">
        <f t="shared" ca="1" si="10"/>
        <v>None</v>
      </c>
      <c r="I583" s="2" t="s">
        <v>6</v>
      </c>
      <c r="J583" s="2" t="s">
        <v>464</v>
      </c>
      <c r="K583" s="16" t="s">
        <v>579</v>
      </c>
    </row>
    <row r="584" spans="1:11" x14ac:dyDescent="0.35">
      <c r="A584" s="8" t="s">
        <v>375</v>
      </c>
      <c r="B584" s="8">
        <v>9</v>
      </c>
      <c r="C584" s="8" t="s">
        <v>94</v>
      </c>
      <c r="D584" s="8">
        <v>2</v>
      </c>
      <c r="E584" s="8">
        <v>38</v>
      </c>
      <c r="F584" s="8" t="s">
        <v>27</v>
      </c>
      <c r="G584" s="8" t="s">
        <v>260</v>
      </c>
      <c r="H584" s="8" t="str">
        <f t="shared" ca="1" si="10"/>
        <v>Welded Together</v>
      </c>
      <c r="I584" s="2" t="s">
        <v>80</v>
      </c>
      <c r="J584" s="2" t="s">
        <v>467</v>
      </c>
      <c r="K584" s="16" t="s">
        <v>581</v>
      </c>
    </row>
    <row r="585" spans="1:11" x14ac:dyDescent="0.35">
      <c r="A585" s="8" t="s">
        <v>375</v>
      </c>
      <c r="B585" s="8">
        <v>9</v>
      </c>
      <c r="C585" s="8" t="s">
        <v>94</v>
      </c>
      <c r="D585" s="8">
        <v>2</v>
      </c>
      <c r="E585" s="8">
        <v>39</v>
      </c>
      <c r="F585" s="8" t="s">
        <v>27</v>
      </c>
      <c r="G585" s="8" t="s">
        <v>260</v>
      </c>
      <c r="H585" s="8" t="str">
        <f t="shared" ca="1" si="10"/>
        <v>Closed -vent System</v>
      </c>
      <c r="I585" s="2" t="s">
        <v>76</v>
      </c>
      <c r="J585" s="2" t="s">
        <v>465</v>
      </c>
      <c r="K585" s="16" t="s">
        <v>578</v>
      </c>
    </row>
    <row r="586" spans="1:11" x14ac:dyDescent="0.35">
      <c r="A586" s="8" t="s">
        <v>375</v>
      </c>
      <c r="B586" s="8">
        <v>9</v>
      </c>
      <c r="C586" s="8" t="s">
        <v>94</v>
      </c>
      <c r="D586" s="8">
        <v>2</v>
      </c>
      <c r="E586" s="8">
        <v>40</v>
      </c>
      <c r="F586" s="8" t="s">
        <v>27</v>
      </c>
      <c r="G586" s="8" t="s">
        <v>260</v>
      </c>
      <c r="H586" s="8" t="str">
        <f t="shared" ca="1" si="10"/>
        <v>None</v>
      </c>
      <c r="I586" s="2" t="s">
        <v>6</v>
      </c>
      <c r="J586" s="2" t="s">
        <v>464</v>
      </c>
      <c r="K586" s="16" t="s">
        <v>579</v>
      </c>
    </row>
    <row r="587" spans="1:11" x14ac:dyDescent="0.35">
      <c r="A587" s="8" t="s">
        <v>375</v>
      </c>
      <c r="B587" s="8">
        <v>9</v>
      </c>
      <c r="C587" s="8" t="s">
        <v>94</v>
      </c>
      <c r="D587" s="8">
        <v>2</v>
      </c>
      <c r="E587" s="8">
        <v>41</v>
      </c>
      <c r="F587" s="8" t="s">
        <v>27</v>
      </c>
      <c r="G587" s="8" t="s">
        <v>260</v>
      </c>
      <c r="H587" s="8" t="str">
        <f t="shared" ca="1" si="10"/>
        <v>Blind, Cap, Plug or Second Valve</v>
      </c>
      <c r="I587" s="2" t="s">
        <v>82</v>
      </c>
      <c r="J587" s="2" t="s">
        <v>468</v>
      </c>
      <c r="K587" s="16" t="s">
        <v>582</v>
      </c>
    </row>
    <row r="588" spans="1:11" x14ac:dyDescent="0.35">
      <c r="A588" s="8" t="s">
        <v>375</v>
      </c>
      <c r="B588" s="8">
        <v>9</v>
      </c>
      <c r="C588" s="8" t="s">
        <v>94</v>
      </c>
      <c r="D588" s="8">
        <v>2</v>
      </c>
      <c r="E588" s="8">
        <v>42</v>
      </c>
      <c r="F588" s="8" t="s">
        <v>27</v>
      </c>
      <c r="G588" s="8" t="s">
        <v>260</v>
      </c>
      <c r="H588" s="8" t="str">
        <f t="shared" ca="1" si="10"/>
        <v>None</v>
      </c>
      <c r="I588" s="2" t="s">
        <v>6</v>
      </c>
      <c r="J588" s="2" t="s">
        <v>464</v>
      </c>
      <c r="K588" s="16" t="s">
        <v>579</v>
      </c>
    </row>
    <row r="589" spans="1:11" x14ac:dyDescent="0.35">
      <c r="A589" s="8" t="s">
        <v>375</v>
      </c>
      <c r="B589" s="8">
        <v>9</v>
      </c>
      <c r="C589" s="8" t="s">
        <v>94</v>
      </c>
      <c r="D589" s="8">
        <v>2</v>
      </c>
      <c r="E589" s="8">
        <v>43</v>
      </c>
      <c r="F589" s="8" t="s">
        <v>27</v>
      </c>
      <c r="G589" s="8" t="s">
        <v>260</v>
      </c>
      <c r="H589" s="8" t="str">
        <f t="shared" ca="1" si="10"/>
        <v>None</v>
      </c>
      <c r="I589" s="2" t="s">
        <v>6</v>
      </c>
      <c r="J589" s="2" t="s">
        <v>464</v>
      </c>
      <c r="K589" s="16" t="s">
        <v>579</v>
      </c>
    </row>
    <row r="590" spans="1:11" x14ac:dyDescent="0.35">
      <c r="A590" s="8" t="s">
        <v>375</v>
      </c>
      <c r="B590" s="8">
        <v>9</v>
      </c>
      <c r="C590" s="8" t="s">
        <v>94</v>
      </c>
      <c r="D590" s="8">
        <v>2</v>
      </c>
      <c r="E590" s="8">
        <v>44</v>
      </c>
      <c r="F590" s="8" t="s">
        <v>27</v>
      </c>
      <c r="G590" s="8" t="s">
        <v>260</v>
      </c>
      <c r="H590" s="8" t="str">
        <f t="shared" ca="1" si="10"/>
        <v>Closed-Vent System</v>
      </c>
      <c r="I590" s="2" t="s">
        <v>78</v>
      </c>
      <c r="J590" s="2" t="s">
        <v>465</v>
      </c>
      <c r="K590" s="16" t="s">
        <v>578</v>
      </c>
    </row>
    <row r="591" spans="1:11" x14ac:dyDescent="0.35">
      <c r="A591" s="8" t="s">
        <v>375</v>
      </c>
      <c r="B591" s="8">
        <v>9</v>
      </c>
      <c r="C591" s="8" t="s">
        <v>94</v>
      </c>
      <c r="D591" s="8">
        <v>2</v>
      </c>
      <c r="E591" s="8">
        <v>45</v>
      </c>
      <c r="F591" s="8" t="s">
        <v>27</v>
      </c>
      <c r="G591" s="8" t="s">
        <v>260</v>
      </c>
      <c r="H591" s="8" t="str">
        <f t="shared" ca="1" si="10"/>
        <v>None</v>
      </c>
      <c r="I591" s="2" t="s">
        <v>6</v>
      </c>
      <c r="J591" s="2" t="s">
        <v>464</v>
      </c>
      <c r="K591" s="16" t="s">
        <v>579</v>
      </c>
    </row>
    <row r="592" spans="1:11" x14ac:dyDescent="0.35">
      <c r="A592" s="8" t="s">
        <v>375</v>
      </c>
      <c r="B592" s="8">
        <v>9</v>
      </c>
      <c r="C592" s="8" t="s">
        <v>94</v>
      </c>
      <c r="D592" s="8">
        <v>2</v>
      </c>
      <c r="E592" s="8">
        <v>46</v>
      </c>
      <c r="F592" s="8" t="s">
        <v>27</v>
      </c>
      <c r="G592" s="8" t="s">
        <v>260</v>
      </c>
      <c r="H592" s="8" t="str">
        <f t="shared" ca="1" si="10"/>
        <v>Rupture Disk Assembly</v>
      </c>
      <c r="I592" s="2" t="s">
        <v>79</v>
      </c>
      <c r="J592" s="2" t="s">
        <v>469</v>
      </c>
      <c r="K592" s="16" t="s">
        <v>583</v>
      </c>
    </row>
    <row r="593" spans="1:11" x14ac:dyDescent="0.35">
      <c r="A593" s="8" t="s">
        <v>375</v>
      </c>
      <c r="B593" s="8">
        <v>9</v>
      </c>
      <c r="C593" s="8" t="s">
        <v>94</v>
      </c>
      <c r="D593" s="8">
        <v>2</v>
      </c>
      <c r="E593" s="8">
        <v>47</v>
      </c>
      <c r="F593" s="8" t="s">
        <v>27</v>
      </c>
      <c r="G593" s="8" t="s">
        <v>260</v>
      </c>
      <c r="H593" s="8" t="str">
        <f t="shared" ca="1" si="10"/>
        <v>Closed-Vent System</v>
      </c>
      <c r="I593" s="2" t="s">
        <v>78</v>
      </c>
      <c r="J593" s="2" t="s">
        <v>465</v>
      </c>
      <c r="K593" s="16" t="s">
        <v>578</v>
      </c>
    </row>
    <row r="594" spans="1:11" x14ac:dyDescent="0.35">
      <c r="A594" s="8" t="s">
        <v>375</v>
      </c>
      <c r="B594" s="8">
        <v>9</v>
      </c>
      <c r="C594" s="8" t="s">
        <v>94</v>
      </c>
      <c r="D594" s="8">
        <v>2</v>
      </c>
      <c r="E594" s="8">
        <v>48</v>
      </c>
      <c r="F594" s="8" t="s">
        <v>27</v>
      </c>
      <c r="G594" s="8" t="s">
        <v>260</v>
      </c>
      <c r="H594" s="8" t="str">
        <f t="shared" ca="1" si="10"/>
        <v>Dual Mechanical Seals With Barrier Fluid System</v>
      </c>
      <c r="I594" s="2" t="s">
        <v>75</v>
      </c>
      <c r="J594" s="2" t="s">
        <v>466</v>
      </c>
      <c r="K594" s="16" t="s">
        <v>580</v>
      </c>
    </row>
    <row r="595" spans="1:11" x14ac:dyDescent="0.35">
      <c r="A595" s="8" t="s">
        <v>375</v>
      </c>
      <c r="B595" s="8">
        <v>9</v>
      </c>
      <c r="C595" s="8" t="s">
        <v>94</v>
      </c>
      <c r="D595" s="8">
        <v>2</v>
      </c>
      <c r="E595" s="8">
        <v>49</v>
      </c>
      <c r="F595" s="8" t="s">
        <v>27</v>
      </c>
      <c r="G595" s="8" t="s">
        <v>260</v>
      </c>
      <c r="H595" s="8" t="str">
        <f t="shared" ca="1" si="10"/>
        <v>None</v>
      </c>
      <c r="I595" s="2" t="s">
        <v>6</v>
      </c>
      <c r="J595" s="2" t="s">
        <v>464</v>
      </c>
      <c r="K595" s="16" t="s">
        <v>579</v>
      </c>
    </row>
    <row r="596" spans="1:11" x14ac:dyDescent="0.35">
      <c r="A596" s="8" t="s">
        <v>375</v>
      </c>
      <c r="B596" s="8">
        <v>9</v>
      </c>
      <c r="C596" s="8" t="s">
        <v>94</v>
      </c>
      <c r="D596" s="8">
        <v>2</v>
      </c>
      <c r="E596" s="8">
        <v>50</v>
      </c>
      <c r="F596" s="8" t="s">
        <v>27</v>
      </c>
      <c r="G596" s="8" t="s">
        <v>260</v>
      </c>
      <c r="H596" s="8" t="str">
        <f t="shared" ca="1" si="10"/>
        <v>Sealless Design</v>
      </c>
      <c r="I596" s="2" t="s">
        <v>74</v>
      </c>
      <c r="J596" s="2" t="s">
        <v>470</v>
      </c>
      <c r="K596" s="16" t="s">
        <v>584</v>
      </c>
    </row>
    <row r="597" spans="1:11" x14ac:dyDescent="0.35">
      <c r="A597" s="8" t="s">
        <v>375</v>
      </c>
      <c r="B597" s="8">
        <v>9</v>
      </c>
      <c r="C597" s="8" t="s">
        <v>94</v>
      </c>
      <c r="D597" s="8">
        <v>2</v>
      </c>
      <c r="E597" s="8">
        <v>51</v>
      </c>
      <c r="F597" s="8" t="s">
        <v>27</v>
      </c>
      <c r="G597" s="8" t="s">
        <v>260</v>
      </c>
      <c r="H597" s="8" t="str">
        <f t="shared" ca="1" si="10"/>
        <v>None</v>
      </c>
      <c r="I597" s="2" t="s">
        <v>6</v>
      </c>
      <c r="J597" s="2" t="s">
        <v>464</v>
      </c>
      <c r="K597" s="16" t="s">
        <v>579</v>
      </c>
    </row>
    <row r="598" spans="1:11" x14ac:dyDescent="0.35">
      <c r="A598" s="8" t="s">
        <v>375</v>
      </c>
      <c r="B598" s="8">
        <v>9</v>
      </c>
      <c r="C598" s="8" t="s">
        <v>94</v>
      </c>
      <c r="D598" s="8">
        <v>2</v>
      </c>
      <c r="E598" s="8">
        <v>52</v>
      </c>
      <c r="F598" s="8" t="s">
        <v>27</v>
      </c>
      <c r="G598" s="8" t="s">
        <v>260</v>
      </c>
      <c r="H598" s="8" t="str">
        <f t="shared" ca="1" si="10"/>
        <v>Blind, Cap, Plug or Second Valve</v>
      </c>
      <c r="I598" s="2" t="s">
        <v>82</v>
      </c>
      <c r="J598" s="2" t="s">
        <v>468</v>
      </c>
      <c r="K598" s="16" t="s">
        <v>582</v>
      </c>
    </row>
    <row r="599" spans="1:11" x14ac:dyDescent="0.35">
      <c r="A599" s="8" t="s">
        <v>375</v>
      </c>
      <c r="B599" s="8">
        <v>9</v>
      </c>
      <c r="C599" s="8" t="s">
        <v>94</v>
      </c>
      <c r="D599" s="8">
        <v>2</v>
      </c>
      <c r="E599" s="8">
        <v>53</v>
      </c>
      <c r="F599" s="8" t="s">
        <v>27</v>
      </c>
      <c r="G599" s="8" t="s">
        <v>260</v>
      </c>
      <c r="H599" s="8" t="str">
        <f t="shared" ca="1" si="10"/>
        <v>None</v>
      </c>
      <c r="I599" s="2" t="s">
        <v>6</v>
      </c>
      <c r="J599" s="2" t="s">
        <v>464</v>
      </c>
      <c r="K599" s="16" t="s">
        <v>579</v>
      </c>
    </row>
    <row r="600" spans="1:11" x14ac:dyDescent="0.35">
      <c r="A600" s="8" t="s">
        <v>375</v>
      </c>
      <c r="B600" s="8">
        <v>9</v>
      </c>
      <c r="C600" s="8" t="s">
        <v>94</v>
      </c>
      <c r="D600" s="8">
        <v>2</v>
      </c>
      <c r="E600" s="8">
        <v>54</v>
      </c>
      <c r="F600" s="8" t="s">
        <v>27</v>
      </c>
      <c r="G600" s="8" t="s">
        <v>260</v>
      </c>
      <c r="H600" s="8" t="str">
        <f t="shared" ca="1" si="10"/>
        <v>None</v>
      </c>
      <c r="I600" s="2" t="s">
        <v>6</v>
      </c>
      <c r="J600" s="2" t="s">
        <v>464</v>
      </c>
      <c r="K600" s="16" t="s">
        <v>579</v>
      </c>
    </row>
    <row r="601" spans="1:11" x14ac:dyDescent="0.35">
      <c r="A601" s="8" t="s">
        <v>375</v>
      </c>
      <c r="B601" s="8">
        <v>9</v>
      </c>
      <c r="C601" s="8" t="s">
        <v>94</v>
      </c>
      <c r="D601" s="8">
        <v>2</v>
      </c>
      <c r="E601" s="8">
        <v>55</v>
      </c>
      <c r="F601" s="8" t="s">
        <v>27</v>
      </c>
      <c r="G601" s="8" t="s">
        <v>260</v>
      </c>
      <c r="H601" s="8" t="str">
        <f t="shared" ca="1" si="10"/>
        <v>Sealless Design</v>
      </c>
      <c r="I601" s="2" t="s">
        <v>74</v>
      </c>
      <c r="J601" s="2" t="s">
        <v>470</v>
      </c>
      <c r="K601" s="16" t="s">
        <v>584</v>
      </c>
    </row>
    <row r="602" spans="1:11" x14ac:dyDescent="0.35">
      <c r="A602" s="8" t="s">
        <v>375</v>
      </c>
      <c r="B602" s="8">
        <v>9</v>
      </c>
      <c r="C602" s="8" t="s">
        <v>86</v>
      </c>
      <c r="D602" s="8">
        <v>3</v>
      </c>
      <c r="E602" s="8">
        <v>58</v>
      </c>
      <c r="F602" s="8" t="s">
        <v>243</v>
      </c>
      <c r="G602" s="8" t="s">
        <v>260</v>
      </c>
      <c r="H602" s="8" t="str">
        <f t="shared" ca="1" si="10"/>
        <v>Facility Type  Look-up Table</v>
      </c>
      <c r="I602" s="8" t="s">
        <v>86</v>
      </c>
      <c r="J602" s="8" t="s">
        <v>392</v>
      </c>
      <c r="K602" s="16" t="s">
        <v>585</v>
      </c>
    </row>
    <row r="603" spans="1:11" x14ac:dyDescent="0.35">
      <c r="A603" s="8" t="s">
        <v>375</v>
      </c>
      <c r="B603" s="8">
        <v>9</v>
      </c>
      <c r="C603" s="8" t="s">
        <v>86</v>
      </c>
      <c r="D603" s="8">
        <v>3</v>
      </c>
      <c r="E603" s="8">
        <v>60</v>
      </c>
      <c r="F603" s="8" t="s">
        <v>243</v>
      </c>
      <c r="G603" s="8" t="s">
        <v>249</v>
      </c>
      <c r="H603" s="8" t="str">
        <f t="shared" ca="1" si="10"/>
        <v>Production</v>
      </c>
      <c r="I603" s="8" t="s">
        <v>20</v>
      </c>
      <c r="J603" s="8" t="s">
        <v>414</v>
      </c>
      <c r="K603" s="16" t="s">
        <v>586</v>
      </c>
    </row>
    <row r="604" spans="1:11" x14ac:dyDescent="0.35">
      <c r="A604" s="8" t="s">
        <v>375</v>
      </c>
      <c r="B604" s="8">
        <v>9</v>
      </c>
      <c r="C604" s="8" t="s">
        <v>86</v>
      </c>
      <c r="D604" s="8">
        <v>3</v>
      </c>
      <c r="E604" s="8">
        <v>60</v>
      </c>
      <c r="F604" s="8" t="s">
        <v>27</v>
      </c>
      <c r="G604" s="8" t="s">
        <v>249</v>
      </c>
      <c r="H604" s="8" t="str">
        <f t="shared" ca="1" si="10"/>
        <v>Gas Processing</v>
      </c>
      <c r="I604" s="8" t="s">
        <v>23</v>
      </c>
      <c r="J604" s="8" t="s">
        <v>395</v>
      </c>
      <c r="K604" s="16" t="s">
        <v>587</v>
      </c>
    </row>
    <row r="605" spans="1:11" x14ac:dyDescent="0.35">
      <c r="A605" s="8" t="s">
        <v>375</v>
      </c>
      <c r="B605" s="8">
        <v>9</v>
      </c>
      <c r="C605" s="8" t="s">
        <v>86</v>
      </c>
      <c r="D605" s="8">
        <v>3</v>
      </c>
      <c r="E605" s="8">
        <v>60</v>
      </c>
      <c r="F605" s="8" t="s">
        <v>245</v>
      </c>
      <c r="G605" s="8" t="s">
        <v>249</v>
      </c>
      <c r="H605" s="8" t="str">
        <f t="shared" ca="1" si="10"/>
        <v>Gas Transmission</v>
      </c>
      <c r="I605" s="8" t="s">
        <v>24</v>
      </c>
      <c r="J605" s="8" t="s">
        <v>397</v>
      </c>
      <c r="K605" s="16" t="s">
        <v>588</v>
      </c>
    </row>
    <row r="606" spans="1:11" x14ac:dyDescent="0.35">
      <c r="A606" s="8" t="s">
        <v>375</v>
      </c>
      <c r="B606" s="8">
        <v>9</v>
      </c>
      <c r="C606" s="8" t="s">
        <v>86</v>
      </c>
      <c r="D606" s="8">
        <v>3</v>
      </c>
      <c r="E606" s="8">
        <v>60</v>
      </c>
      <c r="F606" s="8" t="s">
        <v>246</v>
      </c>
      <c r="G606" s="8" t="s">
        <v>249</v>
      </c>
      <c r="H606" s="8" t="str">
        <f t="shared" ca="1" si="10"/>
        <v>Gas Storage</v>
      </c>
      <c r="I606" s="8" t="s">
        <v>25</v>
      </c>
      <c r="J606" s="8" t="s">
        <v>396</v>
      </c>
      <c r="K606" s="16" t="s">
        <v>589</v>
      </c>
    </row>
    <row r="607" spans="1:11" x14ac:dyDescent="0.35">
      <c r="A607" s="8" t="s">
        <v>375</v>
      </c>
      <c r="B607" s="8">
        <v>9</v>
      </c>
      <c r="C607" s="8" t="s">
        <v>86</v>
      </c>
      <c r="D607" s="8">
        <v>3</v>
      </c>
      <c r="E607" s="8">
        <v>60</v>
      </c>
      <c r="F607" s="8" t="s">
        <v>247</v>
      </c>
      <c r="G607" s="8" t="s">
        <v>249</v>
      </c>
      <c r="H607" s="8" t="str">
        <f t="shared" ca="1" si="10"/>
        <v>Gas Distribution</v>
      </c>
      <c r="I607" s="8" t="s">
        <v>26</v>
      </c>
      <c r="J607" s="8" t="s">
        <v>393</v>
      </c>
      <c r="K607" s="16" t="s">
        <v>590</v>
      </c>
    </row>
    <row r="608" spans="1:11" x14ac:dyDescent="0.35">
      <c r="A608" s="8" t="s">
        <v>375</v>
      </c>
      <c r="B608" s="8">
        <v>9</v>
      </c>
      <c r="C608" s="8" t="s">
        <v>86</v>
      </c>
      <c r="D608" s="8">
        <v>3</v>
      </c>
      <c r="E608" s="8">
        <v>61</v>
      </c>
      <c r="F608" s="8" t="s">
        <v>243</v>
      </c>
      <c r="G608" s="8" t="s">
        <v>260</v>
      </c>
      <c r="H608" s="8" t="str">
        <f t="shared" ca="1" si="10"/>
        <v>Compressor Station - Gas Gathering</v>
      </c>
      <c r="I608" s="8" t="s">
        <v>87</v>
      </c>
      <c r="J608" s="8" t="s">
        <v>376</v>
      </c>
      <c r="K608" s="16" t="s">
        <v>591</v>
      </c>
    </row>
    <row r="609" spans="1:11" x14ac:dyDescent="0.35">
      <c r="A609" s="8" t="s">
        <v>375</v>
      </c>
      <c r="B609" s="8">
        <v>9</v>
      </c>
      <c r="C609" s="8" t="s">
        <v>86</v>
      </c>
      <c r="D609" s="8">
        <v>3</v>
      </c>
      <c r="E609" s="8">
        <v>61</v>
      </c>
      <c r="F609" s="8" t="s">
        <v>243</v>
      </c>
      <c r="G609" s="8" t="s">
        <v>260</v>
      </c>
      <c r="H609" s="8" t="str">
        <f t="shared" ca="1" si="10"/>
        <v>Production Platform (c/w Compression)</v>
      </c>
      <c r="I609" s="8" t="s">
        <v>980</v>
      </c>
      <c r="J609" s="8"/>
      <c r="K609" s="16"/>
    </row>
    <row r="610" spans="1:11" x14ac:dyDescent="0.35">
      <c r="A610" s="8" t="s">
        <v>375</v>
      </c>
      <c r="B610" s="8">
        <v>9</v>
      </c>
      <c r="C610" s="8" t="s">
        <v>86</v>
      </c>
      <c r="D610" s="8">
        <v>3</v>
      </c>
      <c r="E610" s="8">
        <v>61</v>
      </c>
      <c r="F610" s="8" t="s">
        <v>27</v>
      </c>
      <c r="G610" s="8" t="s">
        <v>260</v>
      </c>
      <c r="H610" s="8" t="str">
        <f t="shared" ca="1" si="10"/>
        <v>Sour Gas Plant</v>
      </c>
      <c r="I610" s="8" t="s">
        <v>90</v>
      </c>
      <c r="J610" s="8" t="s">
        <v>377</v>
      </c>
      <c r="K610" s="16" t="s">
        <v>592</v>
      </c>
    </row>
    <row r="611" spans="1:11" x14ac:dyDescent="0.35">
      <c r="A611" s="8" t="s">
        <v>375</v>
      </c>
      <c r="B611" s="8">
        <v>9</v>
      </c>
      <c r="C611" s="8" t="s">
        <v>86</v>
      </c>
      <c r="D611" s="8">
        <v>3</v>
      </c>
      <c r="E611" s="8">
        <v>61</v>
      </c>
      <c r="F611" s="8" t="s">
        <v>245</v>
      </c>
      <c r="G611" s="8" t="s">
        <v>260</v>
      </c>
      <c r="H611" s="8" t="str">
        <f t="shared" ca="1" si="10"/>
        <v>LNG Regasification</v>
      </c>
      <c r="I611" s="8" t="s">
        <v>1114</v>
      </c>
      <c r="J611" s="8"/>
      <c r="K611" s="16"/>
    </row>
    <row r="612" spans="1:11" x14ac:dyDescent="0.35">
      <c r="A612" s="8" t="s">
        <v>375</v>
      </c>
      <c r="B612" s="8">
        <v>9</v>
      </c>
      <c r="C612" s="8" t="s">
        <v>86</v>
      </c>
      <c r="D612" s="8">
        <v>3</v>
      </c>
      <c r="E612" s="8">
        <v>61</v>
      </c>
      <c r="F612" s="8" t="s">
        <v>245</v>
      </c>
      <c r="G612" s="8" t="s">
        <v>260</v>
      </c>
      <c r="H612" s="8" t="str">
        <f t="shared" ca="1" si="10"/>
        <v>LNG Shipping</v>
      </c>
      <c r="I612" s="8" t="s">
        <v>1113</v>
      </c>
      <c r="J612" s="8"/>
      <c r="K612" s="16"/>
    </row>
    <row r="613" spans="1:11" x14ac:dyDescent="0.35">
      <c r="A613" s="8" t="s">
        <v>375</v>
      </c>
      <c r="B613" s="8">
        <v>9</v>
      </c>
      <c r="C613" s="8" t="s">
        <v>86</v>
      </c>
      <c r="D613" s="8">
        <v>3</v>
      </c>
      <c r="E613" s="8">
        <v>61</v>
      </c>
      <c r="F613" s="8" t="s">
        <v>245</v>
      </c>
      <c r="G613" s="8" t="s">
        <v>260</v>
      </c>
      <c r="H613" s="8" t="str">
        <f t="shared" ca="1" si="10"/>
        <v>Compressor Station</v>
      </c>
      <c r="I613" s="8" t="s">
        <v>91</v>
      </c>
      <c r="J613" s="8" t="s">
        <v>378</v>
      </c>
      <c r="K613" s="16" t="s">
        <v>593</v>
      </c>
    </row>
    <row r="614" spans="1:11" x14ac:dyDescent="0.35">
      <c r="A614" s="8" t="s">
        <v>375</v>
      </c>
      <c r="B614" s="8">
        <v>9</v>
      </c>
      <c r="C614" s="8" t="s">
        <v>86</v>
      </c>
      <c r="D614" s="8">
        <v>3</v>
      </c>
      <c r="E614" s="8">
        <v>61</v>
      </c>
      <c r="F614" s="8" t="s">
        <v>246</v>
      </c>
      <c r="G614" s="8" t="s">
        <v>260</v>
      </c>
      <c r="H614" s="8" t="str">
        <f t="shared" ca="1" si="10"/>
        <v>Storage Facility</v>
      </c>
      <c r="I614" s="8" t="s">
        <v>93</v>
      </c>
      <c r="J614" s="8" t="s">
        <v>388</v>
      </c>
      <c r="K614" s="16" t="s">
        <v>594</v>
      </c>
    </row>
    <row r="615" spans="1:11" x14ac:dyDescent="0.35">
      <c r="A615" s="8" t="s">
        <v>375</v>
      </c>
      <c r="B615" s="8">
        <v>9</v>
      </c>
      <c r="C615" s="8" t="s">
        <v>86</v>
      </c>
      <c r="D615" s="8">
        <v>3</v>
      </c>
      <c r="E615" s="8">
        <v>61</v>
      </c>
      <c r="F615" s="8" t="s">
        <v>247</v>
      </c>
      <c r="G615" s="8" t="s">
        <v>260</v>
      </c>
      <c r="H615" s="8" t="str">
        <f t="shared" ca="1" si="10"/>
        <v>Compressor Station</v>
      </c>
      <c r="I615" s="8" t="s">
        <v>91</v>
      </c>
      <c r="J615" s="8"/>
      <c r="K615" s="16"/>
    </row>
    <row r="616" spans="1:11" x14ac:dyDescent="0.35">
      <c r="A616" s="8" t="s">
        <v>375</v>
      </c>
      <c r="B616" s="8">
        <v>9</v>
      </c>
      <c r="C616" s="8" t="s">
        <v>86</v>
      </c>
      <c r="D616" s="8">
        <v>3</v>
      </c>
      <c r="E616" s="8">
        <v>61</v>
      </c>
      <c r="F616" s="8" t="s">
        <v>247</v>
      </c>
      <c r="G616" s="8" t="s">
        <v>260</v>
      </c>
      <c r="H616" s="8" t="str">
        <f t="shared" ca="1" si="10"/>
        <v>Distribution LNG Satellite</v>
      </c>
      <c r="I616" s="8" t="s">
        <v>1115</v>
      </c>
      <c r="J616" s="8"/>
      <c r="K616" s="16"/>
    </row>
    <row r="617" spans="1:11" x14ac:dyDescent="0.35">
      <c r="A617" s="8" t="s">
        <v>375</v>
      </c>
      <c r="B617" s="8">
        <v>9</v>
      </c>
      <c r="C617" s="8" t="s">
        <v>86</v>
      </c>
      <c r="D617" s="8">
        <v>3</v>
      </c>
      <c r="E617" s="8">
        <v>61</v>
      </c>
      <c r="F617" s="8" t="s">
        <v>247</v>
      </c>
      <c r="G617" s="8" t="s">
        <v>260</v>
      </c>
      <c r="H617" s="8" t="str">
        <f t="shared" ca="1" si="10"/>
        <v>Pressure Regulator Station</v>
      </c>
      <c r="I617" s="8" t="s">
        <v>170</v>
      </c>
      <c r="J617" s="8" t="s">
        <v>383</v>
      </c>
      <c r="K617" s="16" t="s">
        <v>595</v>
      </c>
    </row>
    <row r="618" spans="1:11" x14ac:dyDescent="0.35">
      <c r="A618" s="8" t="s">
        <v>375</v>
      </c>
      <c r="B618" s="8">
        <v>9</v>
      </c>
      <c r="C618" s="8" t="s">
        <v>86</v>
      </c>
      <c r="D618" s="8">
        <v>3</v>
      </c>
      <c r="E618" s="8">
        <v>62</v>
      </c>
      <c r="F618" s="8" t="s">
        <v>243</v>
      </c>
      <c r="G618" s="8" t="s">
        <v>260</v>
      </c>
      <c r="H618" s="8" t="str">
        <f t="shared" ca="1" si="10"/>
        <v>Field Dehydrator</v>
      </c>
      <c r="I618" s="8" t="s">
        <v>88</v>
      </c>
      <c r="J618" s="8" t="s">
        <v>380</v>
      </c>
      <c r="K618" s="16" t="s">
        <v>596</v>
      </c>
    </row>
    <row r="619" spans="1:11" x14ac:dyDescent="0.35">
      <c r="A619" s="8" t="s">
        <v>375</v>
      </c>
      <c r="B619" s="8">
        <v>9</v>
      </c>
      <c r="C619" s="8" t="s">
        <v>86</v>
      </c>
      <c r="D619" s="8">
        <v>3</v>
      </c>
      <c r="E619" s="8">
        <v>62</v>
      </c>
      <c r="F619" s="8" t="s">
        <v>243</v>
      </c>
      <c r="G619" s="8" t="s">
        <v>260</v>
      </c>
      <c r="H619" s="8" t="str">
        <f t="shared" ca="1" si="10"/>
        <v>Production Platform (wells only)</v>
      </c>
      <c r="I619" s="8" t="s">
        <v>981</v>
      </c>
      <c r="J619" s="8"/>
      <c r="K619" s="16"/>
    </row>
    <row r="620" spans="1:11" x14ac:dyDescent="0.35">
      <c r="A620" s="8" t="s">
        <v>375</v>
      </c>
      <c r="B620" s="8">
        <v>9</v>
      </c>
      <c r="C620" s="8" t="s">
        <v>86</v>
      </c>
      <c r="D620" s="8">
        <v>3</v>
      </c>
      <c r="E620" s="8">
        <v>62</v>
      </c>
      <c r="F620" s="8" t="s">
        <v>27</v>
      </c>
      <c r="G620" s="8" t="s">
        <v>260</v>
      </c>
      <c r="H620" s="8" t="str">
        <f t="shared" ca="1" si="10"/>
        <v>Sweet Gas Plant</v>
      </c>
      <c r="I620" s="8" t="s">
        <v>89</v>
      </c>
      <c r="J620" s="8" t="s">
        <v>379</v>
      </c>
      <c r="K620" s="16" t="s">
        <v>597</v>
      </c>
    </row>
    <row r="621" spans="1:11" x14ac:dyDescent="0.35">
      <c r="A621" s="8" t="s">
        <v>375</v>
      </c>
      <c r="B621" s="8">
        <v>9</v>
      </c>
      <c r="C621" s="8" t="s">
        <v>86</v>
      </c>
      <c r="D621" s="8">
        <v>3</v>
      </c>
      <c r="E621" s="8">
        <v>62</v>
      </c>
      <c r="F621" s="8" t="s">
        <v>245</v>
      </c>
      <c r="G621" s="8" t="s">
        <v>260</v>
      </c>
      <c r="H621" s="8" t="str">
        <f t="shared" ca="1" si="10"/>
        <v>Receipt Meter Station</v>
      </c>
      <c r="I621" s="8" t="s">
        <v>92</v>
      </c>
      <c r="J621" s="8" t="s">
        <v>381</v>
      </c>
      <c r="K621" s="16" t="s">
        <v>598</v>
      </c>
    </row>
    <row r="622" spans="1:11" x14ac:dyDescent="0.35">
      <c r="A622" s="8" t="s">
        <v>375</v>
      </c>
      <c r="B622" s="8">
        <v>9</v>
      </c>
      <c r="C622" s="8" t="s">
        <v>86</v>
      </c>
      <c r="D622" s="8">
        <v>3</v>
      </c>
      <c r="E622" s="8">
        <v>62</v>
      </c>
      <c r="F622" s="8" t="s">
        <v>246</v>
      </c>
      <c r="G622" s="8" t="s">
        <v>260</v>
      </c>
      <c r="H622" s="8" t="str">
        <f t="shared" ca="1" si="10"/>
        <v>Storage Well</v>
      </c>
      <c r="I622" s="8" t="s">
        <v>166</v>
      </c>
      <c r="J622" s="8" t="s">
        <v>382</v>
      </c>
      <c r="K622" s="16" t="s">
        <v>599</v>
      </c>
    </row>
    <row r="623" spans="1:11" x14ac:dyDescent="0.35">
      <c r="A623" s="8" t="s">
        <v>375</v>
      </c>
      <c r="B623" s="8">
        <v>9</v>
      </c>
      <c r="C623" s="8" t="s">
        <v>86</v>
      </c>
      <c r="D623" s="8">
        <v>3</v>
      </c>
      <c r="E623" s="8">
        <v>62</v>
      </c>
      <c r="F623" s="8" t="s">
        <v>247</v>
      </c>
      <c r="G623" s="8" t="s">
        <v>260</v>
      </c>
      <c r="H623" s="8" t="str">
        <f t="shared" ca="1" si="10"/>
        <v>Receipt Meter Station</v>
      </c>
      <c r="I623" s="8" t="s">
        <v>92</v>
      </c>
      <c r="J623" s="8" t="s">
        <v>381</v>
      </c>
      <c r="K623" s="16" t="s">
        <v>598</v>
      </c>
    </row>
    <row r="624" spans="1:11" x14ac:dyDescent="0.35">
      <c r="A624" s="8" t="s">
        <v>375</v>
      </c>
      <c r="B624" s="8">
        <v>9</v>
      </c>
      <c r="C624" s="8" t="s">
        <v>86</v>
      </c>
      <c r="D624" s="8">
        <v>3</v>
      </c>
      <c r="E624" s="8">
        <v>63</v>
      </c>
      <c r="F624" s="8" t="s">
        <v>243</v>
      </c>
      <c r="G624" s="8" t="s">
        <v>260</v>
      </c>
      <c r="H624" s="8" t="str">
        <f t="shared" ca="1" si="10"/>
        <v>Group Battery - Extra Heavy Oil</v>
      </c>
      <c r="I624" s="8" t="s">
        <v>232</v>
      </c>
      <c r="J624" s="8" t="s">
        <v>398</v>
      </c>
      <c r="K624" s="16" t="s">
        <v>600</v>
      </c>
    </row>
    <row r="625" spans="1:11" x14ac:dyDescent="0.35">
      <c r="A625" s="8" t="s">
        <v>375</v>
      </c>
      <c r="B625" s="8">
        <v>9</v>
      </c>
      <c r="C625" s="8" t="s">
        <v>86</v>
      </c>
      <c r="D625" s="8">
        <v>3</v>
      </c>
      <c r="E625" s="8">
        <v>63</v>
      </c>
      <c r="F625" s="8" t="s">
        <v>243</v>
      </c>
      <c r="G625" s="8" t="s">
        <v>260</v>
      </c>
      <c r="H625" s="8" t="str">
        <f t="shared" ca="1" si="10"/>
        <v>Processing Platform</v>
      </c>
      <c r="I625" s="8" t="s">
        <v>982</v>
      </c>
      <c r="J625" s="8"/>
      <c r="K625" s="16"/>
    </row>
    <row r="626" spans="1:11" x14ac:dyDescent="0.35">
      <c r="A626" s="8" t="s">
        <v>375</v>
      </c>
      <c r="B626" s="8">
        <v>9</v>
      </c>
      <c r="C626" s="8" t="s">
        <v>86</v>
      </c>
      <c r="D626" s="8">
        <v>3</v>
      </c>
      <c r="E626" s="8">
        <v>63</v>
      </c>
      <c r="F626" s="8" t="s">
        <v>27</v>
      </c>
      <c r="G626" s="8" t="s">
        <v>260</v>
      </c>
      <c r="H626" s="8" t="str">
        <f t="shared" ca="1" si="10"/>
        <v>LNG Plant (Liquefaction)</v>
      </c>
      <c r="I626" s="9" t="s">
        <v>1112</v>
      </c>
      <c r="J626" s="9" t="s">
        <v>258</v>
      </c>
      <c r="K626" s="16"/>
    </row>
    <row r="627" spans="1:11" x14ac:dyDescent="0.35">
      <c r="A627" s="8" t="s">
        <v>375</v>
      </c>
      <c r="B627" s="8">
        <v>9</v>
      </c>
      <c r="C627" s="8" t="s">
        <v>86</v>
      </c>
      <c r="D627" s="8">
        <v>3</v>
      </c>
      <c r="E627" s="8">
        <v>63</v>
      </c>
      <c r="F627" s="8" t="s">
        <v>245</v>
      </c>
      <c r="G627" s="8" t="s">
        <v>260</v>
      </c>
      <c r="H627" s="8" t="str">
        <f t="shared" ca="1" si="10"/>
        <v>Sales Meter Station</v>
      </c>
      <c r="I627" s="8" t="s">
        <v>165</v>
      </c>
      <c r="J627" s="8" t="s">
        <v>387</v>
      </c>
      <c r="K627" s="16" t="s">
        <v>601</v>
      </c>
    </row>
    <row r="628" spans="1:11" x14ac:dyDescent="0.35">
      <c r="A628" s="8" t="s">
        <v>375</v>
      </c>
      <c r="B628" s="8">
        <v>9</v>
      </c>
      <c r="C628" s="8" t="s">
        <v>86</v>
      </c>
      <c r="D628" s="8">
        <v>3</v>
      </c>
      <c r="E628" s="8">
        <v>63</v>
      </c>
      <c r="F628" s="8" t="s">
        <v>247</v>
      </c>
      <c r="G628" s="8" t="s">
        <v>260</v>
      </c>
      <c r="H628" s="8" t="str">
        <f t="shared" ca="1" si="10"/>
        <v>Sales Meter Station - Commercial</v>
      </c>
      <c r="I628" s="8" t="s">
        <v>168</v>
      </c>
      <c r="J628" s="8" t="s">
        <v>385</v>
      </c>
      <c r="K628" s="16" t="s">
        <v>602</v>
      </c>
    </row>
    <row r="629" spans="1:11" x14ac:dyDescent="0.35">
      <c r="A629" s="8" t="s">
        <v>375</v>
      </c>
      <c r="B629" s="8">
        <v>9</v>
      </c>
      <c r="C629" s="8" t="s">
        <v>86</v>
      </c>
      <c r="D629" s="8">
        <v>3</v>
      </c>
      <c r="E629" s="8">
        <v>64</v>
      </c>
      <c r="F629" s="8" t="s">
        <v>243</v>
      </c>
      <c r="G629" s="8" t="s">
        <v>260</v>
      </c>
      <c r="H629" s="8" t="str">
        <f t="shared" ref="H629:H668" ca="1" si="11">IF(INDIRECT($C$1&amp;ROW())="","",INDIRECT($C$1&amp;ROW()))</f>
        <v>Group Battery - Gas</v>
      </c>
      <c r="I629" s="8" t="s">
        <v>233</v>
      </c>
      <c r="J629" s="8" t="s">
        <v>399</v>
      </c>
      <c r="K629" s="16" t="s">
        <v>603</v>
      </c>
    </row>
    <row r="630" spans="1:11" x14ac:dyDescent="0.35">
      <c r="A630" s="8" t="s">
        <v>375</v>
      </c>
      <c r="B630" s="8">
        <v>9</v>
      </c>
      <c r="C630" s="8" t="s">
        <v>86</v>
      </c>
      <c r="D630" s="8">
        <v>3</v>
      </c>
      <c r="E630" s="8">
        <v>64</v>
      </c>
      <c r="F630" s="8" t="s">
        <v>247</v>
      </c>
      <c r="G630" s="8" t="s">
        <v>260</v>
      </c>
      <c r="H630" s="8" t="str">
        <f t="shared" ca="1" si="11"/>
        <v>Sales Meter Station - Industrial</v>
      </c>
      <c r="I630" s="8" t="s">
        <v>167</v>
      </c>
      <c r="J630" s="8" t="s">
        <v>384</v>
      </c>
      <c r="K630" s="16" t="s">
        <v>604</v>
      </c>
    </row>
    <row r="631" spans="1:11" x14ac:dyDescent="0.35">
      <c r="A631" s="8" t="s">
        <v>375</v>
      </c>
      <c r="B631" s="8">
        <v>9</v>
      </c>
      <c r="C631" s="8" t="s">
        <v>86</v>
      </c>
      <c r="D631" s="8">
        <v>3</v>
      </c>
      <c r="E631" s="8">
        <v>65</v>
      </c>
      <c r="F631" s="8" t="s">
        <v>243</v>
      </c>
      <c r="G631" s="8" t="s">
        <v>260</v>
      </c>
      <c r="H631" s="8" t="str">
        <f t="shared" ca="1" si="11"/>
        <v>Group Battery - Heavy Oil</v>
      </c>
      <c r="I631" s="8" t="s">
        <v>235</v>
      </c>
      <c r="J631" s="8" t="s">
        <v>400</v>
      </c>
      <c r="K631" s="16" t="s">
        <v>605</v>
      </c>
    </row>
    <row r="632" spans="1:11" x14ac:dyDescent="0.35">
      <c r="A632" s="8" t="s">
        <v>375</v>
      </c>
      <c r="B632" s="8">
        <v>9</v>
      </c>
      <c r="C632" s="8" t="s">
        <v>86</v>
      </c>
      <c r="D632" s="8">
        <v>3</v>
      </c>
      <c r="E632" s="8">
        <v>65</v>
      </c>
      <c r="F632" s="8" t="s">
        <v>247</v>
      </c>
      <c r="G632" s="8" t="s">
        <v>260</v>
      </c>
      <c r="H632" s="8" t="str">
        <f t="shared" ca="1" si="11"/>
        <v>Sales Meter Station - Residential</v>
      </c>
      <c r="I632" s="8" t="s">
        <v>169</v>
      </c>
      <c r="J632" s="8" t="s">
        <v>386</v>
      </c>
      <c r="K632" s="16" t="s">
        <v>606</v>
      </c>
    </row>
    <row r="633" spans="1:11" x14ac:dyDescent="0.35">
      <c r="A633" s="8" t="s">
        <v>375</v>
      </c>
      <c r="B633" s="8">
        <v>9</v>
      </c>
      <c r="C633" s="8" t="s">
        <v>86</v>
      </c>
      <c r="D633" s="8">
        <v>3</v>
      </c>
      <c r="E633" s="8">
        <v>66</v>
      </c>
      <c r="F633" s="8" t="s">
        <v>243</v>
      </c>
      <c r="G633" s="8" t="s">
        <v>260</v>
      </c>
      <c r="H633" s="8" t="str">
        <f t="shared" ca="1" si="11"/>
        <v>Group Battery - Oil</v>
      </c>
      <c r="I633" s="8" t="s">
        <v>234</v>
      </c>
      <c r="J633" s="8" t="s">
        <v>401</v>
      </c>
      <c r="K633" s="16" t="s">
        <v>607</v>
      </c>
    </row>
    <row r="634" spans="1:11" x14ac:dyDescent="0.35">
      <c r="A634" s="8" t="s">
        <v>375</v>
      </c>
      <c r="B634" s="8">
        <v>9</v>
      </c>
      <c r="C634" s="8" t="s">
        <v>86</v>
      </c>
      <c r="D634" s="8">
        <v>3</v>
      </c>
      <c r="E634" s="8">
        <v>67</v>
      </c>
      <c r="F634" s="8" t="s">
        <v>243</v>
      </c>
      <c r="G634" s="8" t="s">
        <v>260</v>
      </c>
      <c r="H634" s="8" t="str">
        <f t="shared" ca="1" si="11"/>
        <v>Single-Well Battery - Extra Heavy Oil</v>
      </c>
      <c r="I634" s="8" t="s">
        <v>228</v>
      </c>
      <c r="J634" s="8" t="s">
        <v>409</v>
      </c>
      <c r="K634" s="16" t="s">
        <v>608</v>
      </c>
    </row>
    <row r="635" spans="1:11" x14ac:dyDescent="0.35">
      <c r="A635" s="8" t="s">
        <v>375</v>
      </c>
      <c r="B635" s="8">
        <v>9</v>
      </c>
      <c r="C635" s="8" t="s">
        <v>86</v>
      </c>
      <c r="D635" s="8">
        <v>3</v>
      </c>
      <c r="E635" s="8">
        <v>68</v>
      </c>
      <c r="F635" s="8" t="s">
        <v>243</v>
      </c>
      <c r="G635" s="8" t="s">
        <v>260</v>
      </c>
      <c r="H635" s="8" t="str">
        <f t="shared" ca="1" si="11"/>
        <v>Single-Well Battery - Gas</v>
      </c>
      <c r="I635" s="8" t="s">
        <v>229</v>
      </c>
      <c r="J635" s="8" t="s">
        <v>410</v>
      </c>
      <c r="K635" s="16" t="s">
        <v>609</v>
      </c>
    </row>
    <row r="636" spans="1:11" x14ac:dyDescent="0.35">
      <c r="A636" s="8" t="s">
        <v>375</v>
      </c>
      <c r="B636" s="8">
        <v>9</v>
      </c>
      <c r="C636" s="8" t="s">
        <v>86</v>
      </c>
      <c r="D636" s="8">
        <v>3</v>
      </c>
      <c r="E636" s="8">
        <v>69</v>
      </c>
      <c r="F636" s="8" t="s">
        <v>243</v>
      </c>
      <c r="G636" s="8" t="s">
        <v>260</v>
      </c>
      <c r="H636" s="8" t="str">
        <f t="shared" ca="1" si="11"/>
        <v>Single-Well Battery - Heavy Oil</v>
      </c>
      <c r="I636" s="9" t="s">
        <v>230</v>
      </c>
      <c r="J636" s="9" t="s">
        <v>411</v>
      </c>
      <c r="K636" s="16" t="s">
        <v>610</v>
      </c>
    </row>
    <row r="637" spans="1:11" x14ac:dyDescent="0.35">
      <c r="A637" s="8" t="s">
        <v>375</v>
      </c>
      <c r="B637" s="8">
        <v>9</v>
      </c>
      <c r="C637" s="8" t="s">
        <v>86</v>
      </c>
      <c r="D637" s="8">
        <v>3</v>
      </c>
      <c r="E637" s="8">
        <v>70</v>
      </c>
      <c r="F637" s="8" t="s">
        <v>243</v>
      </c>
      <c r="G637" s="8" t="s">
        <v>260</v>
      </c>
      <c r="H637" s="8" t="str">
        <f t="shared" ca="1" si="11"/>
        <v>Single-Well Battery - Oil</v>
      </c>
      <c r="I637" s="9" t="s">
        <v>231</v>
      </c>
      <c r="J637" s="9" t="s">
        <v>412</v>
      </c>
      <c r="K637" s="16" t="s">
        <v>611</v>
      </c>
    </row>
    <row r="638" spans="1:11" x14ac:dyDescent="0.35">
      <c r="A638" s="8" t="s">
        <v>375</v>
      </c>
      <c r="B638" s="8">
        <v>9</v>
      </c>
      <c r="C638" s="8" t="s">
        <v>86</v>
      </c>
      <c r="D638" s="8">
        <v>3</v>
      </c>
      <c r="E638" s="8">
        <v>70</v>
      </c>
      <c r="F638" s="8" t="s">
        <v>243</v>
      </c>
      <c r="G638" s="8" t="s">
        <v>260</v>
      </c>
      <c r="H638" s="8" t="str">
        <f t="shared" ca="1" si="11"/>
        <v xml:space="preserve">Abandoned wells </v>
      </c>
      <c r="I638" s="9" t="s">
        <v>979</v>
      </c>
      <c r="J638" s="9"/>
      <c r="K638" s="16"/>
    </row>
    <row r="639" spans="1:11" x14ac:dyDescent="0.35">
      <c r="A639" s="8" t="s">
        <v>375</v>
      </c>
      <c r="B639" s="8">
        <v>9</v>
      </c>
      <c r="C639" s="8" t="s">
        <v>108</v>
      </c>
      <c r="D639" s="8">
        <v>4</v>
      </c>
      <c r="E639" s="8">
        <f>ROW('Lookup Tables'!B128)</f>
        <v>128</v>
      </c>
      <c r="F639" s="8" t="s">
        <v>243</v>
      </c>
      <c r="G639" s="8" t="s">
        <v>242</v>
      </c>
      <c r="H639" s="8" t="str">
        <f t="shared" ca="1" si="11"/>
        <v>Error Messages</v>
      </c>
      <c r="I639" s="9" t="s">
        <v>108</v>
      </c>
      <c r="J639" s="9" t="s">
        <v>257</v>
      </c>
      <c r="K639" s="16" t="s">
        <v>612</v>
      </c>
    </row>
    <row r="640" spans="1:11" x14ac:dyDescent="0.35">
      <c r="A640" s="8" t="s">
        <v>375</v>
      </c>
      <c r="B640" s="8">
        <v>9</v>
      </c>
      <c r="C640" s="8" t="s">
        <v>108</v>
      </c>
      <c r="D640" s="8">
        <v>4</v>
      </c>
      <c r="E640" s="8">
        <f>ROW('Lookup Tables'!B130)</f>
        <v>130</v>
      </c>
      <c r="F640" s="8" t="s">
        <v>243</v>
      </c>
      <c r="G640" s="8" t="s">
        <v>249</v>
      </c>
      <c r="H640" s="8" t="str">
        <f t="shared" ca="1" si="11"/>
        <v>Error Code</v>
      </c>
      <c r="I640" s="2" t="s">
        <v>209</v>
      </c>
      <c r="J640" s="2" t="s">
        <v>419</v>
      </c>
      <c r="K640" s="16" t="s">
        <v>613</v>
      </c>
    </row>
    <row r="641" spans="1:11" x14ac:dyDescent="0.35">
      <c r="A641" s="8" t="s">
        <v>375</v>
      </c>
      <c r="B641" s="8">
        <v>9</v>
      </c>
      <c r="C641" s="8" t="s">
        <v>108</v>
      </c>
      <c r="D641" s="8">
        <v>4</v>
      </c>
      <c r="E641" s="8">
        <f>E640</f>
        <v>130</v>
      </c>
      <c r="F641" s="8" t="s">
        <v>27</v>
      </c>
      <c r="G641" s="8" t="s">
        <v>249</v>
      </c>
      <c r="H641" s="8" t="str">
        <f t="shared" ca="1" si="11"/>
        <v>Error Message (Active)</v>
      </c>
      <c r="I641" s="2" t="s">
        <v>312</v>
      </c>
      <c r="J641" s="2" t="s">
        <v>420</v>
      </c>
      <c r="K641" s="16" t="s">
        <v>614</v>
      </c>
    </row>
    <row r="642" spans="1:11" x14ac:dyDescent="0.35">
      <c r="A642" s="8" t="s">
        <v>375</v>
      </c>
      <c r="B642" s="8">
        <v>9</v>
      </c>
      <c r="C642" s="8" t="s">
        <v>108</v>
      </c>
      <c r="D642" s="8">
        <v>4</v>
      </c>
      <c r="E642" s="8">
        <f>E640</f>
        <v>130</v>
      </c>
      <c r="F642" s="8" t="s">
        <v>245</v>
      </c>
      <c r="G642" s="8" t="s">
        <v>249</v>
      </c>
      <c r="H642" s="8" t="str">
        <f t="shared" ca="1" si="11"/>
        <v>Error Message</v>
      </c>
      <c r="I642" s="2" t="s">
        <v>210</v>
      </c>
      <c r="J642" s="2" t="s">
        <v>444</v>
      </c>
      <c r="K642" s="16" t="s">
        <v>615</v>
      </c>
    </row>
    <row r="643" spans="1:11" x14ac:dyDescent="0.35">
      <c r="A643" s="8" t="s">
        <v>375</v>
      </c>
      <c r="B643" s="8">
        <v>9</v>
      </c>
      <c r="C643" s="8" t="s">
        <v>108</v>
      </c>
      <c r="D643" s="8">
        <v>4</v>
      </c>
      <c r="E643" s="8">
        <v>76</v>
      </c>
      <c r="F643" s="8" t="s">
        <v>245</v>
      </c>
      <c r="G643" s="8" t="s">
        <v>260</v>
      </c>
      <c r="H643" s="8" t="str">
        <f t="shared" ca="1" si="11"/>
        <v>Error: This field must be completed.</v>
      </c>
      <c r="I643" s="2" t="s">
        <v>211</v>
      </c>
      <c r="J643" s="2" t="s">
        <v>445</v>
      </c>
      <c r="K643" s="17" t="s">
        <v>616</v>
      </c>
    </row>
    <row r="644" spans="1:11" x14ac:dyDescent="0.35">
      <c r="A644" s="8" t="s">
        <v>375</v>
      </c>
      <c r="B644" s="8">
        <v>9</v>
      </c>
      <c r="C644" s="8" t="s">
        <v>108</v>
      </c>
      <c r="D644" s="8">
        <v>4</v>
      </c>
      <c r="E644" s="8">
        <v>77</v>
      </c>
      <c r="F644" s="8" t="s">
        <v>245</v>
      </c>
      <c r="G644" s="8" t="s">
        <v>260</v>
      </c>
      <c r="H644" s="8" t="str">
        <f t="shared" ca="1" si="11"/>
        <v>Error: the source of the input value needs to be set in Column G.</v>
      </c>
      <c r="I644" s="2" t="s">
        <v>845</v>
      </c>
      <c r="J644" s="2" t="s">
        <v>846</v>
      </c>
      <c r="K644" s="16" t="s">
        <v>847</v>
      </c>
    </row>
    <row r="645" spans="1:11" x14ac:dyDescent="0.35">
      <c r="A645" s="8" t="s">
        <v>375</v>
      </c>
      <c r="B645" s="8">
        <v>9</v>
      </c>
      <c r="C645" s="8" t="s">
        <v>108</v>
      </c>
      <c r="D645" s="8">
        <v>4</v>
      </c>
      <c r="E645" s="8">
        <v>78</v>
      </c>
      <c r="F645" s="8" t="s">
        <v>245</v>
      </c>
      <c r="G645" s="8" t="s">
        <v>260</v>
      </c>
      <c r="H645" s="8" t="str">
        <f t="shared" ca="1" si="11"/>
        <v>Error: either the Type or Source-of-Value field needs to be completed.</v>
      </c>
      <c r="I645" s="2" t="s">
        <v>212</v>
      </c>
      <c r="J645" s="2" t="s">
        <v>446</v>
      </c>
      <c r="K645" s="16" t="s">
        <v>617</v>
      </c>
    </row>
    <row r="646" spans="1:11" x14ac:dyDescent="0.35">
      <c r="A646" s="8" t="s">
        <v>375</v>
      </c>
      <c r="B646" s="8">
        <v>9</v>
      </c>
      <c r="C646" s="8" t="s">
        <v>108</v>
      </c>
      <c r="D646" s="8">
        <v>4</v>
      </c>
      <c r="E646" s="8">
        <v>79</v>
      </c>
      <c r="F646" s="8" t="s">
        <v>245</v>
      </c>
      <c r="G646" s="8" t="s">
        <v>260</v>
      </c>
      <c r="H646" s="8" t="str">
        <f t="shared" ca="1" si="11"/>
        <v>Error: invalid or undefined process type for the specified industry segment.</v>
      </c>
      <c r="I646" s="2" t="s">
        <v>213</v>
      </c>
      <c r="J646" s="2" t="s">
        <v>447</v>
      </c>
      <c r="K646" s="16" t="s">
        <v>618</v>
      </c>
    </row>
    <row r="647" spans="1:11" x14ac:dyDescent="0.35">
      <c r="A647" s="8" t="s">
        <v>375</v>
      </c>
      <c r="B647" s="8">
        <v>9</v>
      </c>
      <c r="C647" s="8" t="s">
        <v>108</v>
      </c>
      <c r="D647" s="8">
        <v>4</v>
      </c>
      <c r="E647" s="8">
        <v>80</v>
      </c>
      <c r="F647" s="8" t="s">
        <v>245</v>
      </c>
      <c r="G647" s="8" t="s">
        <v>260</v>
      </c>
      <c r="H647" s="8" t="str">
        <f t="shared" ca="1" si="11"/>
        <v>Error: the sum of the entered values must not exceed 100%.</v>
      </c>
      <c r="I647" s="2" t="s">
        <v>214</v>
      </c>
      <c r="J647" s="2" t="s">
        <v>448</v>
      </c>
      <c r="K647" s="16" t="s">
        <v>619</v>
      </c>
    </row>
    <row r="648" spans="1:11" x14ac:dyDescent="0.35">
      <c r="A648" s="8" t="s">
        <v>375</v>
      </c>
      <c r="B648" s="8">
        <v>9</v>
      </c>
      <c r="C648" s="8" t="s">
        <v>108</v>
      </c>
      <c r="D648" s="8">
        <v>4</v>
      </c>
      <c r="E648" s="8">
        <v>81</v>
      </c>
      <c r="F648" s="8" t="s">
        <v>245</v>
      </c>
      <c r="G648" s="8" t="s">
        <v>260</v>
      </c>
      <c r="H648" s="8" t="str">
        <f t="shared" ca="1" si="11"/>
        <v>Error: the source of the composition values needs to be set.</v>
      </c>
      <c r="I648" s="2" t="s">
        <v>438</v>
      </c>
      <c r="J648" s="2" t="s">
        <v>449</v>
      </c>
      <c r="K648" s="16" t="s">
        <v>620</v>
      </c>
    </row>
    <row r="649" spans="1:11" x14ac:dyDescent="0.35">
      <c r="A649" s="8" t="s">
        <v>450</v>
      </c>
      <c r="B649" s="8">
        <v>10</v>
      </c>
      <c r="C649" s="8" t="s">
        <v>21</v>
      </c>
      <c r="D649" s="8">
        <v>1</v>
      </c>
      <c r="E649" s="8">
        <v>2</v>
      </c>
      <c r="F649" s="8" t="s">
        <v>241</v>
      </c>
      <c r="G649" s="8" t="s">
        <v>249</v>
      </c>
      <c r="H649" s="8" t="str">
        <f t="shared" ca="1" si="11"/>
        <v>List</v>
      </c>
      <c r="I649" s="2" t="s">
        <v>21</v>
      </c>
      <c r="J649" s="2" t="s">
        <v>453</v>
      </c>
      <c r="K649" s="16" t="s">
        <v>621</v>
      </c>
    </row>
    <row r="650" spans="1:11" x14ac:dyDescent="0.35">
      <c r="A650" s="8" t="s">
        <v>450</v>
      </c>
      <c r="B650" s="8">
        <v>10</v>
      </c>
      <c r="C650" s="8" t="s">
        <v>21</v>
      </c>
      <c r="D650" s="8">
        <v>1</v>
      </c>
      <c r="E650" s="8">
        <v>2</v>
      </c>
      <c r="F650" s="8" t="s">
        <v>243</v>
      </c>
      <c r="G650" s="8" t="s">
        <v>249</v>
      </c>
      <c r="H650" s="8" t="str">
        <f t="shared" ca="1" si="11"/>
        <v>Valid Options (Active)</v>
      </c>
      <c r="I650" s="2" t="s">
        <v>313</v>
      </c>
      <c r="J650" s="2" t="s">
        <v>454</v>
      </c>
      <c r="K650" s="16" t="s">
        <v>622</v>
      </c>
    </row>
    <row r="651" spans="1:11" x14ac:dyDescent="0.35">
      <c r="A651" s="8" t="s">
        <v>450</v>
      </c>
      <c r="B651" s="8">
        <v>10</v>
      </c>
      <c r="C651" s="8" t="s">
        <v>21</v>
      </c>
      <c r="D651" s="8">
        <v>1</v>
      </c>
      <c r="E651" s="8">
        <f>E649</f>
        <v>2</v>
      </c>
      <c r="F651" s="8" t="s">
        <v>27</v>
      </c>
      <c r="G651" s="8" t="s">
        <v>249</v>
      </c>
      <c r="H651" s="8" t="str">
        <f t="shared" ca="1" si="11"/>
        <v>Valid Options</v>
      </c>
      <c r="I651" s="2" t="s">
        <v>451</v>
      </c>
      <c r="J651" s="2" t="s">
        <v>452</v>
      </c>
      <c r="K651" s="16" t="s">
        <v>623</v>
      </c>
    </row>
    <row r="652" spans="1:11" x14ac:dyDescent="0.35">
      <c r="A652" s="8" t="s">
        <v>450</v>
      </c>
      <c r="B652" s="8">
        <v>10</v>
      </c>
      <c r="C652" s="8" t="s">
        <v>21</v>
      </c>
      <c r="D652" s="8">
        <v>1</v>
      </c>
      <c r="E652" s="8">
        <v>3</v>
      </c>
      <c r="F652" s="8" t="s">
        <v>241</v>
      </c>
      <c r="G652" s="8" t="s">
        <v>248</v>
      </c>
      <c r="H652" s="8" t="str">
        <f t="shared" ca="1" si="11"/>
        <v>Industry Segment</v>
      </c>
      <c r="I652" s="2" t="s">
        <v>22</v>
      </c>
      <c r="J652" s="8" t="s">
        <v>250</v>
      </c>
      <c r="K652" s="16" t="s">
        <v>478</v>
      </c>
    </row>
    <row r="653" spans="1:11" x14ac:dyDescent="0.35">
      <c r="A653" s="8" t="s">
        <v>450</v>
      </c>
      <c r="B653" s="8">
        <v>10</v>
      </c>
      <c r="C653" s="8" t="s">
        <v>21</v>
      </c>
      <c r="D653" s="8">
        <v>1</v>
      </c>
      <c r="E653" s="8">
        <v>4</v>
      </c>
      <c r="F653" s="8" t="s">
        <v>27</v>
      </c>
      <c r="G653" s="8" t="s">
        <v>260</v>
      </c>
      <c r="H653" s="8" t="str">
        <f t="shared" ca="1" si="11"/>
        <v>Onshore Production</v>
      </c>
      <c r="I653" s="2" t="s">
        <v>977</v>
      </c>
      <c r="J653" s="2" t="s">
        <v>414</v>
      </c>
      <c r="K653" s="16" t="s">
        <v>586</v>
      </c>
    </row>
    <row r="654" spans="1:11" x14ac:dyDescent="0.35">
      <c r="A654" s="8" t="s">
        <v>450</v>
      </c>
      <c r="B654" s="8">
        <v>10</v>
      </c>
      <c r="C654" s="8" t="s">
        <v>21</v>
      </c>
      <c r="D654" s="8">
        <v>1</v>
      </c>
      <c r="E654" s="8">
        <v>4</v>
      </c>
      <c r="F654" s="8" t="s">
        <v>27</v>
      </c>
      <c r="G654" s="8" t="s">
        <v>260</v>
      </c>
      <c r="H654" s="8" t="str">
        <f t="shared" ca="1" si="11"/>
        <v>Offshore Production</v>
      </c>
      <c r="I654" s="2" t="s">
        <v>978</v>
      </c>
      <c r="J654" s="2" t="s">
        <v>414</v>
      </c>
      <c r="K654" s="16" t="s">
        <v>586</v>
      </c>
    </row>
    <row r="655" spans="1:11" x14ac:dyDescent="0.35">
      <c r="A655" s="8" t="s">
        <v>450</v>
      </c>
      <c r="B655" s="8">
        <v>10</v>
      </c>
      <c r="C655" s="8" t="s">
        <v>21</v>
      </c>
      <c r="D655" s="8">
        <v>1</v>
      </c>
      <c r="E655" s="8">
        <v>5</v>
      </c>
      <c r="F655" s="8" t="s">
        <v>27</v>
      </c>
      <c r="G655" s="8" t="s">
        <v>260</v>
      </c>
      <c r="H655" s="8" t="str">
        <f t="shared" ca="1" si="11"/>
        <v>Gas Processing</v>
      </c>
      <c r="I655" s="2" t="s">
        <v>23</v>
      </c>
      <c r="J655" s="2" t="s">
        <v>395</v>
      </c>
      <c r="K655" s="16" t="s">
        <v>587</v>
      </c>
    </row>
    <row r="656" spans="1:11" x14ac:dyDescent="0.35">
      <c r="A656" s="8" t="s">
        <v>450</v>
      </c>
      <c r="B656" s="8">
        <v>10</v>
      </c>
      <c r="C656" s="8" t="s">
        <v>21</v>
      </c>
      <c r="D656" s="8">
        <v>1</v>
      </c>
      <c r="E656" s="8">
        <v>6</v>
      </c>
      <c r="F656" s="8" t="s">
        <v>27</v>
      </c>
      <c r="G656" s="8" t="s">
        <v>260</v>
      </c>
      <c r="H656" s="8" t="str">
        <f t="shared" ca="1" si="11"/>
        <v>Gas Transmission</v>
      </c>
      <c r="I656" s="2" t="s">
        <v>24</v>
      </c>
      <c r="J656" s="2" t="s">
        <v>397</v>
      </c>
      <c r="K656" s="16" t="s">
        <v>588</v>
      </c>
    </row>
    <row r="657" spans="1:11" x14ac:dyDescent="0.35">
      <c r="A657" s="8" t="s">
        <v>450</v>
      </c>
      <c r="B657" s="8">
        <v>10</v>
      </c>
      <c r="C657" s="8" t="s">
        <v>21</v>
      </c>
      <c r="D657" s="8">
        <v>1</v>
      </c>
      <c r="E657" s="8">
        <v>7</v>
      </c>
      <c r="F657" s="8" t="s">
        <v>27</v>
      </c>
      <c r="G657" s="8" t="s">
        <v>260</v>
      </c>
      <c r="H657" s="8" t="str">
        <f t="shared" ca="1" si="11"/>
        <v>Gas Storage</v>
      </c>
      <c r="I657" s="2" t="s">
        <v>25</v>
      </c>
      <c r="J657" s="2" t="s">
        <v>396</v>
      </c>
      <c r="K657" s="16" t="s">
        <v>589</v>
      </c>
    </row>
    <row r="658" spans="1:11" x14ac:dyDescent="0.35">
      <c r="A658" s="8" t="s">
        <v>450</v>
      </c>
      <c r="B658" s="8">
        <v>10</v>
      </c>
      <c r="C658" s="8" t="s">
        <v>21</v>
      </c>
      <c r="D658" s="8">
        <v>1</v>
      </c>
      <c r="E658" s="8">
        <v>8</v>
      </c>
      <c r="F658" s="8" t="s">
        <v>27</v>
      </c>
      <c r="G658" s="8" t="s">
        <v>260</v>
      </c>
      <c r="H658" s="8" t="str">
        <f t="shared" ca="1" si="11"/>
        <v>Gas Distribution</v>
      </c>
      <c r="I658" s="2" t="s">
        <v>26</v>
      </c>
      <c r="J658" s="2" t="s">
        <v>393</v>
      </c>
      <c r="K658" s="16" t="s">
        <v>590</v>
      </c>
    </row>
    <row r="659" spans="1:11" x14ac:dyDescent="0.35">
      <c r="A659" s="8" t="s">
        <v>450</v>
      </c>
      <c r="B659" s="8">
        <v>10</v>
      </c>
      <c r="C659" s="8" t="s">
        <v>21</v>
      </c>
      <c r="D659" s="8">
        <v>1</v>
      </c>
      <c r="E659" s="8">
        <v>9</v>
      </c>
      <c r="F659" s="8" t="s">
        <v>241</v>
      </c>
      <c r="G659" s="8" t="s">
        <v>248</v>
      </c>
      <c r="H659" s="8" t="str">
        <f t="shared" ca="1" si="11"/>
        <v>Dehydrator Types</v>
      </c>
      <c r="I659" s="8" t="s">
        <v>29</v>
      </c>
      <c r="J659" s="2" t="s">
        <v>455</v>
      </c>
      <c r="K659" s="16" t="s">
        <v>624</v>
      </c>
    </row>
    <row r="660" spans="1:11" x14ac:dyDescent="0.35">
      <c r="A660" s="8" t="s">
        <v>450</v>
      </c>
      <c r="B660" s="8">
        <v>10</v>
      </c>
      <c r="C660" s="8" t="s">
        <v>21</v>
      </c>
      <c r="D660" s="8">
        <v>1</v>
      </c>
      <c r="E660" s="8">
        <v>10</v>
      </c>
      <c r="F660" s="8" t="s">
        <v>27</v>
      </c>
      <c r="G660" s="8" t="s">
        <v>260</v>
      </c>
      <c r="H660" s="8" t="str">
        <f t="shared" ca="1" si="11"/>
        <v>Without Gas-Assisted Pump Emissions</v>
      </c>
      <c r="I660" s="2" t="s">
        <v>114</v>
      </c>
      <c r="J660" s="2" t="s">
        <v>361</v>
      </c>
      <c r="K660" s="16" t="s">
        <v>528</v>
      </c>
    </row>
    <row r="661" spans="1:11" x14ac:dyDescent="0.35">
      <c r="A661" s="8" t="s">
        <v>450</v>
      </c>
      <c r="B661" s="8">
        <v>10</v>
      </c>
      <c r="C661" s="8" t="s">
        <v>21</v>
      </c>
      <c r="D661" s="8">
        <v>1</v>
      </c>
      <c r="E661" s="8">
        <v>11</v>
      </c>
      <c r="F661" s="8" t="s">
        <v>27</v>
      </c>
      <c r="G661" s="8" t="s">
        <v>260</v>
      </c>
      <c r="H661" s="8" t="str">
        <f t="shared" ca="1" si="11"/>
        <v>With Gas-Assisted Pump Emissions</v>
      </c>
      <c r="I661" s="2" t="s">
        <v>110</v>
      </c>
      <c r="J661" s="2" t="s">
        <v>362</v>
      </c>
      <c r="K661" s="16" t="s">
        <v>527</v>
      </c>
    </row>
    <row r="662" spans="1:11" x14ac:dyDescent="0.35">
      <c r="A662" s="8" t="s">
        <v>450</v>
      </c>
      <c r="B662" s="8">
        <v>10</v>
      </c>
      <c r="C662" s="8" t="s">
        <v>21</v>
      </c>
      <c r="D662" s="8">
        <v>1</v>
      </c>
      <c r="E662" s="8">
        <v>12</v>
      </c>
      <c r="F662" s="8" t="s">
        <v>241</v>
      </c>
      <c r="G662" s="8" t="s">
        <v>248</v>
      </c>
      <c r="H662" s="8" t="str">
        <f t="shared" ca="1" si="11"/>
        <v>Pneumatic Supply Gas</v>
      </c>
      <c r="I662" s="2" t="s">
        <v>95</v>
      </c>
      <c r="J662" s="2" t="s">
        <v>463</v>
      </c>
      <c r="K662" s="2" t="s">
        <v>625</v>
      </c>
    </row>
    <row r="663" spans="1:11" x14ac:dyDescent="0.35">
      <c r="A663" s="8" t="s">
        <v>450</v>
      </c>
      <c r="B663" s="8">
        <v>10</v>
      </c>
      <c r="C663" s="8" t="s">
        <v>21</v>
      </c>
      <c r="D663" s="8">
        <v>1</v>
      </c>
      <c r="E663" s="8">
        <v>13</v>
      </c>
      <c r="F663" s="8" t="s">
        <v>27</v>
      </c>
      <c r="G663" s="8" t="s">
        <v>260</v>
      </c>
      <c r="H663" s="8" t="str">
        <f t="shared" ca="1" si="11"/>
        <v>Compressed Air</v>
      </c>
      <c r="I663" s="2" t="s">
        <v>96</v>
      </c>
      <c r="J663" s="2" t="s">
        <v>363</v>
      </c>
      <c r="K663" s="2" t="s">
        <v>626</v>
      </c>
    </row>
    <row r="664" spans="1:11" x14ac:dyDescent="0.35">
      <c r="A664" s="8" t="s">
        <v>450</v>
      </c>
      <c r="B664" s="8">
        <v>10</v>
      </c>
      <c r="C664" s="8" t="s">
        <v>21</v>
      </c>
      <c r="D664" s="8">
        <v>1</v>
      </c>
      <c r="E664" s="8">
        <v>14</v>
      </c>
      <c r="F664" s="8" t="s">
        <v>27</v>
      </c>
      <c r="G664" s="8" t="s">
        <v>260</v>
      </c>
      <c r="H664" s="8" t="str">
        <f t="shared" ca="1" si="11"/>
        <v>Natural Gas</v>
      </c>
      <c r="I664" s="2" t="s">
        <v>97</v>
      </c>
      <c r="J664" s="2" t="s">
        <v>353</v>
      </c>
      <c r="K664" s="16" t="s">
        <v>503</v>
      </c>
    </row>
    <row r="665" spans="1:11" x14ac:dyDescent="0.35">
      <c r="A665" s="8" t="s">
        <v>450</v>
      </c>
      <c r="B665" s="8">
        <v>10</v>
      </c>
      <c r="C665" s="8" t="s">
        <v>21</v>
      </c>
      <c r="D665" s="8">
        <v>1</v>
      </c>
      <c r="E665" s="8">
        <v>15</v>
      </c>
      <c r="F665" s="8" t="s">
        <v>241</v>
      </c>
      <c r="G665" s="8" t="s">
        <v>248</v>
      </c>
      <c r="H665" s="8" t="str">
        <f t="shared" ca="1" si="11"/>
        <v>Hydrocarbon Liquids</v>
      </c>
      <c r="I665" s="2" t="s">
        <v>100</v>
      </c>
      <c r="J665" s="2" t="s">
        <v>462</v>
      </c>
      <c r="K665" s="16" t="s">
        <v>627</v>
      </c>
    </row>
    <row r="666" spans="1:11" x14ac:dyDescent="0.35">
      <c r="A666" s="8" t="s">
        <v>450</v>
      </c>
      <c r="B666" s="8">
        <v>10</v>
      </c>
      <c r="C666" s="8" t="s">
        <v>21</v>
      </c>
      <c r="D666" s="8">
        <v>1</v>
      </c>
      <c r="E666" s="8">
        <v>16</v>
      </c>
      <c r="F666" s="8" t="s">
        <v>27</v>
      </c>
      <c r="G666" s="8" t="s">
        <v>260</v>
      </c>
      <c r="H666" s="8" t="str">
        <f t="shared" ca="1" si="11"/>
        <v>Light</v>
      </c>
      <c r="I666" s="2" t="s">
        <v>101</v>
      </c>
      <c r="J666" s="2" t="s">
        <v>364</v>
      </c>
      <c r="K666" s="2" t="s">
        <v>628</v>
      </c>
    </row>
    <row r="667" spans="1:11" x14ac:dyDescent="0.35">
      <c r="A667" s="8" t="s">
        <v>450</v>
      </c>
      <c r="B667" s="8">
        <v>10</v>
      </c>
      <c r="C667" s="8" t="s">
        <v>21</v>
      </c>
      <c r="D667" s="8">
        <v>1</v>
      </c>
      <c r="E667" s="8">
        <v>17</v>
      </c>
      <c r="F667" s="8" t="s">
        <v>27</v>
      </c>
      <c r="G667" s="8" t="s">
        <v>260</v>
      </c>
      <c r="H667" s="8" t="str">
        <f t="shared" ca="1" si="11"/>
        <v>Medium</v>
      </c>
      <c r="I667" s="2" t="s">
        <v>103</v>
      </c>
      <c r="J667" s="2" t="s">
        <v>365</v>
      </c>
      <c r="K667" s="2" t="s">
        <v>629</v>
      </c>
    </row>
    <row r="668" spans="1:11" x14ac:dyDescent="0.35">
      <c r="A668" s="8" t="s">
        <v>450</v>
      </c>
      <c r="B668" s="8">
        <v>10</v>
      </c>
      <c r="C668" s="8" t="s">
        <v>21</v>
      </c>
      <c r="D668" s="8">
        <v>1</v>
      </c>
      <c r="E668" s="8">
        <v>18</v>
      </c>
      <c r="F668" s="8" t="s">
        <v>27</v>
      </c>
      <c r="G668" s="8" t="s">
        <v>260</v>
      </c>
      <c r="H668" s="8" t="str">
        <f t="shared" ca="1" si="11"/>
        <v>Heavy</v>
      </c>
      <c r="I668" s="2" t="s">
        <v>102</v>
      </c>
      <c r="J668" s="2" t="s">
        <v>366</v>
      </c>
      <c r="K668" s="2" t="s">
        <v>630</v>
      </c>
    </row>
    <row r="669" spans="1:11" x14ac:dyDescent="0.35">
      <c r="A669" s="8" t="s">
        <v>450</v>
      </c>
      <c r="B669" s="8">
        <v>10</v>
      </c>
      <c r="C669" s="8" t="s">
        <v>21</v>
      </c>
      <c r="D669" s="8">
        <v>1</v>
      </c>
      <c r="E669" s="8">
        <v>19</v>
      </c>
      <c r="F669" s="8" t="s">
        <v>27</v>
      </c>
      <c r="G669" s="8" t="s">
        <v>260</v>
      </c>
      <c r="H669" s="8" t="str">
        <f t="shared" ref="H669:H721" ca="1" si="12">IF(INDIRECT($C$1&amp;ROW())="","",INDIRECT($C$1&amp;ROW()))</f>
        <v>Very Heavy</v>
      </c>
      <c r="I669" s="2" t="s">
        <v>104</v>
      </c>
      <c r="J669" s="2" t="s">
        <v>367</v>
      </c>
      <c r="K669" s="2" t="s">
        <v>631</v>
      </c>
    </row>
    <row r="670" spans="1:11" x14ac:dyDescent="0.35">
      <c r="A670" s="8" t="s">
        <v>450</v>
      </c>
      <c r="B670" s="8">
        <v>10</v>
      </c>
      <c r="C670" s="8" t="s">
        <v>21</v>
      </c>
      <c r="D670" s="8">
        <v>1</v>
      </c>
      <c r="E670" s="8">
        <v>20</v>
      </c>
      <c r="F670" s="8" t="s">
        <v>241</v>
      </c>
      <c r="G670" s="8" t="s">
        <v>248</v>
      </c>
      <c r="H670" s="8" t="str">
        <f t="shared" ca="1" si="12"/>
        <v>Type of Controllers</v>
      </c>
      <c r="I670" s="2" t="s">
        <v>107</v>
      </c>
      <c r="J670" s="2" t="s">
        <v>259</v>
      </c>
      <c r="K670" s="16" t="s">
        <v>482</v>
      </c>
    </row>
    <row r="671" spans="1:11" x14ac:dyDescent="0.35">
      <c r="A671" s="8" t="s">
        <v>450</v>
      </c>
      <c r="B671" s="8">
        <v>10</v>
      </c>
      <c r="C671" s="8" t="s">
        <v>21</v>
      </c>
      <c r="D671" s="8">
        <v>1</v>
      </c>
      <c r="E671" s="8">
        <v>21</v>
      </c>
      <c r="F671" s="8" t="s">
        <v>27</v>
      </c>
      <c r="G671" s="8" t="s">
        <v>260</v>
      </c>
      <c r="H671" s="8" t="str">
        <f t="shared" ca="1" si="12"/>
        <v>Not Applicable</v>
      </c>
      <c r="I671" s="2" t="s">
        <v>31</v>
      </c>
      <c r="J671" s="2" t="s">
        <v>301</v>
      </c>
      <c r="K671" s="16" t="s">
        <v>523</v>
      </c>
    </row>
    <row r="672" spans="1:11" x14ac:dyDescent="0.35">
      <c r="A672" s="8" t="s">
        <v>450</v>
      </c>
      <c r="B672" s="8">
        <v>10</v>
      </c>
      <c r="C672" s="8" t="s">
        <v>21</v>
      </c>
      <c r="D672" s="8">
        <v>1</v>
      </c>
      <c r="E672" s="8">
        <v>22</v>
      </c>
      <c r="F672" s="8" t="s">
        <v>27</v>
      </c>
      <c r="G672" s="8" t="s">
        <v>260</v>
      </c>
      <c r="H672" s="8" t="str">
        <f t="shared" ca="1" si="12"/>
        <v>Low-Bleed</v>
      </c>
      <c r="I672" s="2" t="s">
        <v>2</v>
      </c>
      <c r="J672" s="8" t="s">
        <v>405</v>
      </c>
      <c r="K672" s="16" t="s">
        <v>521</v>
      </c>
    </row>
    <row r="673" spans="1:11" x14ac:dyDescent="0.35">
      <c r="A673" s="8" t="s">
        <v>450</v>
      </c>
      <c r="B673" s="8">
        <v>10</v>
      </c>
      <c r="C673" s="8" t="s">
        <v>21</v>
      </c>
      <c r="D673" s="8">
        <v>1</v>
      </c>
      <c r="E673" s="8">
        <v>23</v>
      </c>
      <c r="F673" s="8" t="s">
        <v>27</v>
      </c>
      <c r="G673" s="8" t="s">
        <v>260</v>
      </c>
      <c r="H673" s="8" t="str">
        <f t="shared" ca="1" si="12"/>
        <v>High-Bleed</v>
      </c>
      <c r="I673" s="2" t="s">
        <v>3</v>
      </c>
      <c r="J673" s="2" t="s">
        <v>302</v>
      </c>
      <c r="K673" s="16" t="s">
        <v>519</v>
      </c>
    </row>
    <row r="674" spans="1:11" x14ac:dyDescent="0.35">
      <c r="A674" s="8" t="s">
        <v>450</v>
      </c>
      <c r="B674" s="8">
        <v>10</v>
      </c>
      <c r="C674" s="8" t="s">
        <v>21</v>
      </c>
      <c r="D674" s="8">
        <v>1</v>
      </c>
      <c r="E674" s="8">
        <v>24</v>
      </c>
      <c r="F674" s="8" t="s">
        <v>27</v>
      </c>
      <c r="G674" s="8" t="s">
        <v>260</v>
      </c>
      <c r="H674" s="8" t="str">
        <f t="shared" ca="1" si="12"/>
        <v>Intermittent Bleed</v>
      </c>
      <c r="I674" s="2" t="s">
        <v>4</v>
      </c>
      <c r="J674" s="2" t="s">
        <v>303</v>
      </c>
      <c r="K674" s="16" t="s">
        <v>520</v>
      </c>
    </row>
    <row r="675" spans="1:11" x14ac:dyDescent="0.35">
      <c r="A675" s="8" t="s">
        <v>450</v>
      </c>
      <c r="B675" s="8">
        <v>10</v>
      </c>
      <c r="C675" s="8" t="s">
        <v>21</v>
      </c>
      <c r="D675" s="8">
        <v>1</v>
      </c>
      <c r="E675" s="8">
        <v>25</v>
      </c>
      <c r="F675" s="8" t="s">
        <v>27</v>
      </c>
      <c r="G675" s="8" t="s">
        <v>260</v>
      </c>
      <c r="H675" s="8" t="str">
        <f t="shared" ca="1" si="12"/>
        <v>No-Bleed</v>
      </c>
      <c r="I675" s="2" t="s">
        <v>5</v>
      </c>
      <c r="J675" s="8" t="s">
        <v>406</v>
      </c>
      <c r="K675" s="16" t="s">
        <v>522</v>
      </c>
    </row>
    <row r="676" spans="1:11" x14ac:dyDescent="0.35">
      <c r="A676" s="8" t="s">
        <v>450</v>
      </c>
      <c r="B676" s="8">
        <v>10</v>
      </c>
      <c r="C676" s="8" t="s">
        <v>21</v>
      </c>
      <c r="D676" s="8">
        <v>1</v>
      </c>
      <c r="E676" s="8">
        <v>26</v>
      </c>
      <c r="F676" s="8" t="s">
        <v>241</v>
      </c>
      <c r="G676" s="8" t="s">
        <v>248</v>
      </c>
      <c r="H676" s="8" t="str">
        <f t="shared" ca="1" si="12"/>
        <v>Source of Quantity</v>
      </c>
      <c r="I676" s="2" t="s">
        <v>190</v>
      </c>
      <c r="J676" s="2" t="s">
        <v>461</v>
      </c>
      <c r="K676" s="2" t="s">
        <v>632</v>
      </c>
    </row>
    <row r="677" spans="1:11" x14ac:dyDescent="0.35">
      <c r="A677" s="8" t="s">
        <v>450</v>
      </c>
      <c r="B677" s="8">
        <v>10</v>
      </c>
      <c r="C677" s="8" t="s">
        <v>21</v>
      </c>
      <c r="D677" s="8">
        <v>1</v>
      </c>
      <c r="E677" s="8">
        <v>27</v>
      </c>
      <c r="F677" s="8" t="s">
        <v>27</v>
      </c>
      <c r="G677" s="8" t="s">
        <v>260</v>
      </c>
      <c r="H677" s="8" t="str">
        <f t="shared" ca="1" si="12"/>
        <v>Engineering Judgement</v>
      </c>
      <c r="I677" s="2" t="s">
        <v>163</v>
      </c>
      <c r="J677" s="2" t="s">
        <v>370</v>
      </c>
      <c r="K677" s="2" t="s">
        <v>633</v>
      </c>
    </row>
    <row r="678" spans="1:11" x14ac:dyDescent="0.35">
      <c r="A678" s="8" t="s">
        <v>450</v>
      </c>
      <c r="B678" s="8">
        <v>10</v>
      </c>
      <c r="C678" s="8" t="s">
        <v>21</v>
      </c>
      <c r="D678" s="8">
        <v>1</v>
      </c>
      <c r="E678" s="8">
        <v>28</v>
      </c>
      <c r="F678" s="8" t="s">
        <v>27</v>
      </c>
      <c r="G678" s="8" t="s">
        <v>260</v>
      </c>
      <c r="H678" s="8" t="str">
        <f t="shared" ca="1" si="12"/>
        <v>Calculated</v>
      </c>
      <c r="I678" s="2" t="s">
        <v>152</v>
      </c>
      <c r="J678" s="2" t="s">
        <v>369</v>
      </c>
      <c r="K678" s="2" t="s">
        <v>634</v>
      </c>
    </row>
    <row r="679" spans="1:11" x14ac:dyDescent="0.35">
      <c r="A679" s="8" t="s">
        <v>450</v>
      </c>
      <c r="B679" s="8">
        <v>10</v>
      </c>
      <c r="C679" s="8" t="s">
        <v>21</v>
      </c>
      <c r="D679" s="8">
        <v>1</v>
      </c>
      <c r="E679" s="8">
        <v>29</v>
      </c>
      <c r="F679" s="8" t="s">
        <v>27</v>
      </c>
      <c r="G679" s="8" t="s">
        <v>260</v>
      </c>
      <c r="H679" s="8" t="str">
        <f t="shared" ca="1" si="12"/>
        <v>Measured</v>
      </c>
      <c r="I679" s="2" t="s">
        <v>162</v>
      </c>
      <c r="J679" s="2" t="s">
        <v>368</v>
      </c>
      <c r="K679" s="2" t="s">
        <v>635</v>
      </c>
    </row>
    <row r="680" spans="1:11" x14ac:dyDescent="0.35">
      <c r="A680" s="8" t="s">
        <v>450</v>
      </c>
      <c r="B680" s="8">
        <v>10</v>
      </c>
      <c r="C680" s="8" t="s">
        <v>21</v>
      </c>
      <c r="D680" s="8">
        <v>1</v>
      </c>
      <c r="E680" s="8">
        <v>30</v>
      </c>
      <c r="F680" s="8" t="s">
        <v>241</v>
      </c>
      <c r="G680" s="8" t="s">
        <v>248</v>
      </c>
      <c r="H680" s="8" t="str">
        <f t="shared" ca="1" si="12"/>
        <v>Source of Property</v>
      </c>
      <c r="I680" s="2" t="s">
        <v>191</v>
      </c>
      <c r="J680" s="2" t="s">
        <v>460</v>
      </c>
      <c r="K680" s="2" t="s">
        <v>636</v>
      </c>
    </row>
    <row r="681" spans="1:11" x14ac:dyDescent="0.35">
      <c r="A681" s="8" t="s">
        <v>450</v>
      </c>
      <c r="B681" s="8">
        <v>10</v>
      </c>
      <c r="C681" s="8" t="s">
        <v>21</v>
      </c>
      <c r="D681" s="8">
        <v>1</v>
      </c>
      <c r="E681" s="8">
        <v>31</v>
      </c>
      <c r="F681" s="8" t="s">
        <v>27</v>
      </c>
      <c r="G681" s="8" t="s">
        <v>260</v>
      </c>
      <c r="H681" s="8" t="str">
        <f t="shared" ca="1" si="12"/>
        <v>Default</v>
      </c>
      <c r="I681" s="2" t="s">
        <v>178</v>
      </c>
      <c r="J681" s="2" t="s">
        <v>371</v>
      </c>
      <c r="K681" s="2" t="s">
        <v>496</v>
      </c>
    </row>
    <row r="682" spans="1:11" x14ac:dyDescent="0.35">
      <c r="A682" s="8" t="s">
        <v>450</v>
      </c>
      <c r="B682" s="8">
        <v>10</v>
      </c>
      <c r="C682" s="8" t="s">
        <v>21</v>
      </c>
      <c r="D682" s="8">
        <v>1</v>
      </c>
      <c r="E682" s="8">
        <v>32</v>
      </c>
      <c r="F682" s="8" t="s">
        <v>27</v>
      </c>
      <c r="G682" s="8" t="s">
        <v>260</v>
      </c>
      <c r="H682" s="8" t="str">
        <f t="shared" ca="1" si="12"/>
        <v>Measured</v>
      </c>
      <c r="I682" s="2" t="s">
        <v>162</v>
      </c>
      <c r="J682" s="2" t="s">
        <v>368</v>
      </c>
      <c r="K682" s="2" t="s">
        <v>635</v>
      </c>
    </row>
    <row r="683" spans="1:11" x14ac:dyDescent="0.35">
      <c r="A683" s="8" t="s">
        <v>450</v>
      </c>
      <c r="B683" s="8">
        <v>10</v>
      </c>
      <c r="C683" s="8" t="s">
        <v>21</v>
      </c>
      <c r="D683" s="8">
        <v>1</v>
      </c>
      <c r="E683" s="8">
        <v>33</v>
      </c>
      <c r="F683" s="8" t="s">
        <v>27</v>
      </c>
      <c r="G683" s="8" t="s">
        <v>260</v>
      </c>
      <c r="H683" s="8" t="str">
        <f t="shared" ca="1" si="12"/>
        <v>Calculated</v>
      </c>
      <c r="I683" s="2" t="s">
        <v>152</v>
      </c>
      <c r="J683" s="2" t="s">
        <v>369</v>
      </c>
      <c r="K683" s="2" t="s">
        <v>634</v>
      </c>
    </row>
    <row r="684" spans="1:11" x14ac:dyDescent="0.35">
      <c r="A684" s="8" t="s">
        <v>450</v>
      </c>
      <c r="B684" s="8">
        <v>10</v>
      </c>
      <c r="C684" s="8" t="s">
        <v>21</v>
      </c>
      <c r="D684" s="8">
        <v>1</v>
      </c>
      <c r="E684" s="8">
        <v>34</v>
      </c>
      <c r="F684" s="8" t="s">
        <v>241</v>
      </c>
      <c r="G684" s="8" t="s">
        <v>248</v>
      </c>
      <c r="H684" s="8" t="str">
        <f t="shared" ca="1" si="12"/>
        <v>Solid Fuels</v>
      </c>
      <c r="I684" s="2" t="s">
        <v>187</v>
      </c>
      <c r="J684" s="2" t="s">
        <v>459</v>
      </c>
      <c r="K684" s="2" t="s">
        <v>637</v>
      </c>
    </row>
    <row r="685" spans="1:11" x14ac:dyDescent="0.35">
      <c r="A685" s="8" t="s">
        <v>450</v>
      </c>
      <c r="B685" s="8">
        <v>10</v>
      </c>
      <c r="C685" s="8" t="s">
        <v>21</v>
      </c>
      <c r="D685" s="8">
        <v>1</v>
      </c>
      <c r="E685" s="8">
        <v>35</v>
      </c>
      <c r="F685" s="8" t="s">
        <v>27</v>
      </c>
      <c r="G685" s="8" t="s">
        <v>260</v>
      </c>
      <c r="H685" s="8" t="str">
        <f t="shared" ca="1" si="12"/>
        <v>Anthracite</v>
      </c>
      <c r="I685" s="2" t="s">
        <v>147</v>
      </c>
      <c r="J685" s="2" t="s">
        <v>269</v>
      </c>
      <c r="K685" s="2" t="s">
        <v>486</v>
      </c>
    </row>
    <row r="686" spans="1:11" x14ac:dyDescent="0.35">
      <c r="A686" s="8" t="s">
        <v>450</v>
      </c>
      <c r="B686" s="8">
        <v>10</v>
      </c>
      <c r="C686" s="8" t="s">
        <v>21</v>
      </c>
      <c r="D686" s="8">
        <v>1</v>
      </c>
      <c r="E686" s="8">
        <v>36</v>
      </c>
      <c r="F686" s="8" t="s">
        <v>27</v>
      </c>
      <c r="G686" s="8" t="s">
        <v>260</v>
      </c>
      <c r="H686" s="8" t="str">
        <f t="shared" ca="1" si="12"/>
        <v>Bituminous</v>
      </c>
      <c r="I686" s="2" t="s">
        <v>372</v>
      </c>
      <c r="J686" s="2" t="s">
        <v>270</v>
      </c>
      <c r="K686" s="2" t="s">
        <v>766</v>
      </c>
    </row>
    <row r="687" spans="1:11" x14ac:dyDescent="0.35">
      <c r="A687" s="8" t="s">
        <v>450</v>
      </c>
      <c r="B687" s="8">
        <v>10</v>
      </c>
      <c r="C687" s="8" t="s">
        <v>21</v>
      </c>
      <c r="D687" s="8">
        <v>1</v>
      </c>
      <c r="E687" s="8">
        <v>37</v>
      </c>
      <c r="F687" s="8" t="s">
        <v>27</v>
      </c>
      <c r="G687" s="8" t="s">
        <v>260</v>
      </c>
      <c r="H687" s="8" t="str">
        <f t="shared" ca="1" si="12"/>
        <v>Lignite</v>
      </c>
      <c r="I687" s="2" t="s">
        <v>148</v>
      </c>
      <c r="J687" s="2" t="s">
        <v>271</v>
      </c>
      <c r="K687" s="2" t="s">
        <v>487</v>
      </c>
    </row>
    <row r="688" spans="1:11" x14ac:dyDescent="0.35">
      <c r="A688" s="8" t="s">
        <v>450</v>
      </c>
      <c r="B688" s="8">
        <v>10</v>
      </c>
      <c r="C688" s="8" t="s">
        <v>21</v>
      </c>
      <c r="D688" s="8">
        <v>1</v>
      </c>
      <c r="E688" s="8">
        <v>38</v>
      </c>
      <c r="F688" s="8" t="s">
        <v>27</v>
      </c>
      <c r="G688" s="8" t="s">
        <v>260</v>
      </c>
      <c r="H688" s="8" t="str">
        <f t="shared" ca="1" si="12"/>
        <v>Cleaned Coal</v>
      </c>
      <c r="I688" s="2" t="s">
        <v>149</v>
      </c>
      <c r="J688" s="8" t="s">
        <v>272</v>
      </c>
      <c r="K688" s="16" t="s">
        <v>488</v>
      </c>
    </row>
    <row r="689" spans="1:11" x14ac:dyDescent="0.35">
      <c r="A689" s="8" t="s">
        <v>450</v>
      </c>
      <c r="B689" s="8">
        <v>10</v>
      </c>
      <c r="C689" s="8" t="s">
        <v>21</v>
      </c>
      <c r="D689" s="8">
        <v>1</v>
      </c>
      <c r="E689" s="8">
        <v>39</v>
      </c>
      <c r="F689" s="8" t="s">
        <v>27</v>
      </c>
      <c r="G689" s="8" t="s">
        <v>260</v>
      </c>
      <c r="H689" s="8" t="str">
        <f t="shared" ca="1" si="12"/>
        <v>Other Washed Coal</v>
      </c>
      <c r="I689" s="2" t="s">
        <v>150</v>
      </c>
      <c r="J689" s="2" t="s">
        <v>273</v>
      </c>
      <c r="K689" s="16" t="s">
        <v>489</v>
      </c>
    </row>
    <row r="690" spans="1:11" x14ac:dyDescent="0.35">
      <c r="A690" s="8" t="s">
        <v>450</v>
      </c>
      <c r="B690" s="8">
        <v>10</v>
      </c>
      <c r="C690" s="8" t="s">
        <v>21</v>
      </c>
      <c r="D690" s="8">
        <v>1</v>
      </c>
      <c r="E690" s="8">
        <v>40</v>
      </c>
      <c r="F690" s="8" t="s">
        <v>27</v>
      </c>
      <c r="G690" s="8" t="s">
        <v>260</v>
      </c>
      <c r="H690" s="8" t="str">
        <f t="shared" ca="1" si="12"/>
        <v>Briquette Coal</v>
      </c>
      <c r="I690" s="2" t="s">
        <v>439</v>
      </c>
      <c r="J690" s="8" t="s">
        <v>274</v>
      </c>
      <c r="K690" s="16" t="s">
        <v>490</v>
      </c>
    </row>
    <row r="691" spans="1:11" x14ac:dyDescent="0.35">
      <c r="A691" s="8" t="s">
        <v>450</v>
      </c>
      <c r="B691" s="8">
        <v>10</v>
      </c>
      <c r="C691" s="8" t="s">
        <v>21</v>
      </c>
      <c r="D691" s="8">
        <v>1</v>
      </c>
      <c r="E691" s="8">
        <v>41</v>
      </c>
      <c r="F691" s="8" t="s">
        <v>27</v>
      </c>
      <c r="G691" s="8" t="s">
        <v>260</v>
      </c>
      <c r="H691" s="8" t="str">
        <f t="shared" ca="1" si="12"/>
        <v>Coke</v>
      </c>
      <c r="I691" s="2" t="s">
        <v>151</v>
      </c>
      <c r="J691" s="8" t="s">
        <v>275</v>
      </c>
      <c r="K691" s="16" t="s">
        <v>491</v>
      </c>
    </row>
    <row r="692" spans="1:11" x14ac:dyDescent="0.35">
      <c r="A692" s="8" t="s">
        <v>450</v>
      </c>
      <c r="B692" s="8">
        <v>10</v>
      </c>
      <c r="C692" s="8" t="s">
        <v>21</v>
      </c>
      <c r="D692" s="8">
        <v>1</v>
      </c>
      <c r="E692" s="8">
        <v>42</v>
      </c>
      <c r="F692" s="8" t="s">
        <v>27</v>
      </c>
      <c r="G692" s="8" t="s">
        <v>260</v>
      </c>
      <c r="H692" s="8" t="str">
        <f t="shared" ca="1" si="12"/>
        <v>Petroleum Coke</v>
      </c>
      <c r="I692" s="2" t="s">
        <v>159</v>
      </c>
      <c r="J692" s="8" t="s">
        <v>276</v>
      </c>
      <c r="K692" s="16" t="s">
        <v>492</v>
      </c>
    </row>
    <row r="693" spans="1:11" x14ac:dyDescent="0.35">
      <c r="A693" s="8" t="s">
        <v>450</v>
      </c>
      <c r="B693" s="8">
        <v>10</v>
      </c>
      <c r="C693" s="8" t="s">
        <v>21</v>
      </c>
      <c r="D693" s="8">
        <v>1</v>
      </c>
      <c r="E693" s="8">
        <v>43</v>
      </c>
      <c r="F693" s="8" t="s">
        <v>241</v>
      </c>
      <c r="G693" s="8" t="s">
        <v>248</v>
      </c>
      <c r="H693" s="8" t="str">
        <f t="shared" ca="1" si="12"/>
        <v>Liquid Fuels</v>
      </c>
      <c r="I693" s="2" t="s">
        <v>188</v>
      </c>
      <c r="J693" s="2" t="s">
        <v>458</v>
      </c>
      <c r="K693" s="2" t="s">
        <v>638</v>
      </c>
    </row>
    <row r="694" spans="1:11" x14ac:dyDescent="0.35">
      <c r="A694" s="8" t="s">
        <v>450</v>
      </c>
      <c r="B694" s="8">
        <v>10</v>
      </c>
      <c r="C694" s="8" t="s">
        <v>21</v>
      </c>
      <c r="D694" s="8">
        <v>1</v>
      </c>
      <c r="E694" s="8">
        <v>44</v>
      </c>
      <c r="F694" s="8" t="s">
        <v>27</v>
      </c>
      <c r="G694" s="8" t="s">
        <v>260</v>
      </c>
      <c r="H694" s="8" t="str">
        <f t="shared" ca="1" si="12"/>
        <v>Crude Oil</v>
      </c>
      <c r="I694" s="2" t="s">
        <v>32</v>
      </c>
      <c r="J694" s="2" t="s">
        <v>277</v>
      </c>
      <c r="K694" s="16" t="s">
        <v>493</v>
      </c>
    </row>
    <row r="695" spans="1:11" x14ac:dyDescent="0.35">
      <c r="A695" s="8" t="s">
        <v>450</v>
      </c>
      <c r="B695" s="8">
        <v>10</v>
      </c>
      <c r="C695" s="8" t="s">
        <v>21</v>
      </c>
      <c r="D695" s="8">
        <v>1</v>
      </c>
      <c r="E695" s="8">
        <v>45</v>
      </c>
      <c r="F695" s="8" t="s">
        <v>27</v>
      </c>
      <c r="G695" s="8" t="s">
        <v>260</v>
      </c>
      <c r="H695" s="8" t="str">
        <f t="shared" ca="1" si="12"/>
        <v>Fuel Oil</v>
      </c>
      <c r="I695" s="2" t="s">
        <v>153</v>
      </c>
      <c r="J695" s="2" t="s">
        <v>278</v>
      </c>
      <c r="K695" s="16" t="s">
        <v>494</v>
      </c>
    </row>
    <row r="696" spans="1:11" x14ac:dyDescent="0.35">
      <c r="A696" s="8" t="s">
        <v>450</v>
      </c>
      <c r="B696" s="8">
        <v>10</v>
      </c>
      <c r="C696" s="8" t="s">
        <v>21</v>
      </c>
      <c r="D696" s="8">
        <v>1</v>
      </c>
      <c r="E696" s="8">
        <v>46</v>
      </c>
      <c r="F696" s="8" t="s">
        <v>27</v>
      </c>
      <c r="G696" s="8" t="s">
        <v>260</v>
      </c>
      <c r="H696" s="8" t="str">
        <f t="shared" ca="1" si="12"/>
        <v>Gasoline</v>
      </c>
      <c r="I696" s="2" t="s">
        <v>154</v>
      </c>
      <c r="J696" s="2" t="s">
        <v>279</v>
      </c>
      <c r="K696" s="2" t="s">
        <v>495</v>
      </c>
    </row>
    <row r="697" spans="1:11" x14ac:dyDescent="0.35">
      <c r="A697" s="8" t="s">
        <v>450</v>
      </c>
      <c r="B697" s="8">
        <v>10</v>
      </c>
      <c r="C697" s="8" t="s">
        <v>21</v>
      </c>
      <c r="D697" s="8">
        <v>1</v>
      </c>
      <c r="E697" s="8">
        <v>47</v>
      </c>
      <c r="F697" s="8" t="s">
        <v>27</v>
      </c>
      <c r="G697" s="8" t="s">
        <v>260</v>
      </c>
      <c r="H697" s="8" t="str">
        <f t="shared" ca="1" si="12"/>
        <v>Diesel</v>
      </c>
      <c r="I697" s="2" t="s">
        <v>155</v>
      </c>
      <c r="J697" s="8" t="s">
        <v>280</v>
      </c>
      <c r="K697" s="16" t="s">
        <v>497</v>
      </c>
    </row>
    <row r="698" spans="1:11" x14ac:dyDescent="0.35">
      <c r="A698" s="8" t="s">
        <v>450</v>
      </c>
      <c r="B698" s="8">
        <v>10</v>
      </c>
      <c r="C698" s="8" t="s">
        <v>21</v>
      </c>
      <c r="D698" s="8">
        <v>1</v>
      </c>
      <c r="E698" s="8">
        <v>48</v>
      </c>
      <c r="F698" s="8" t="s">
        <v>27</v>
      </c>
      <c r="G698" s="8" t="s">
        <v>260</v>
      </c>
      <c r="H698" s="8" t="str">
        <f t="shared" ca="1" si="12"/>
        <v>Aviation Kerosene</v>
      </c>
      <c r="I698" s="2" t="s">
        <v>156</v>
      </c>
      <c r="J698" s="2" t="s">
        <v>281</v>
      </c>
      <c r="K698" s="16" t="s">
        <v>498</v>
      </c>
    </row>
    <row r="699" spans="1:11" x14ac:dyDescent="0.35">
      <c r="A699" s="8" t="s">
        <v>450</v>
      </c>
      <c r="B699" s="8">
        <v>10</v>
      </c>
      <c r="C699" s="8" t="s">
        <v>21</v>
      </c>
      <c r="D699" s="8">
        <v>1</v>
      </c>
      <c r="E699" s="8">
        <v>49</v>
      </c>
      <c r="F699" s="8" t="s">
        <v>27</v>
      </c>
      <c r="G699" s="8" t="s">
        <v>260</v>
      </c>
      <c r="H699" s="8" t="str">
        <f t="shared" ca="1" si="12"/>
        <v>Common Kerosene</v>
      </c>
      <c r="I699" s="2" t="s">
        <v>157</v>
      </c>
      <c r="J699" s="2" t="s">
        <v>282</v>
      </c>
      <c r="K699" s="16" t="s">
        <v>499</v>
      </c>
    </row>
    <row r="700" spans="1:11" x14ac:dyDescent="0.35">
      <c r="A700" s="8" t="s">
        <v>450</v>
      </c>
      <c r="B700" s="8">
        <v>10</v>
      </c>
      <c r="C700" s="8" t="s">
        <v>21</v>
      </c>
      <c r="D700" s="8">
        <v>1</v>
      </c>
      <c r="E700" s="8">
        <v>50</v>
      </c>
      <c r="F700" s="8" t="s">
        <v>27</v>
      </c>
      <c r="G700" s="8" t="s">
        <v>260</v>
      </c>
      <c r="H700" s="8" t="str">
        <f t="shared" ca="1" si="12"/>
        <v>Naphtha</v>
      </c>
      <c r="I700" s="2" t="s">
        <v>158</v>
      </c>
      <c r="J700" s="2" t="s">
        <v>283</v>
      </c>
      <c r="K700" s="2" t="s">
        <v>500</v>
      </c>
    </row>
    <row r="701" spans="1:11" x14ac:dyDescent="0.35">
      <c r="A701" s="8" t="s">
        <v>450</v>
      </c>
      <c r="B701" s="8">
        <v>10</v>
      </c>
      <c r="C701" s="8" t="s">
        <v>21</v>
      </c>
      <c r="D701" s="8">
        <v>1</v>
      </c>
      <c r="E701" s="8">
        <v>51</v>
      </c>
      <c r="F701" s="8" t="s">
        <v>27</v>
      </c>
      <c r="G701" s="8" t="s">
        <v>260</v>
      </c>
      <c r="H701" s="8" t="str">
        <f t="shared" ca="1" si="12"/>
        <v>Liquefied Petroleum Gas</v>
      </c>
      <c r="I701" s="11" t="s">
        <v>373</v>
      </c>
      <c r="J701" s="11" t="s">
        <v>285</v>
      </c>
      <c r="K701" s="2" t="s">
        <v>501</v>
      </c>
    </row>
    <row r="702" spans="1:11" x14ac:dyDescent="0.35">
      <c r="A702" s="8" t="s">
        <v>450</v>
      </c>
      <c r="B702" s="8">
        <v>10</v>
      </c>
      <c r="C702" s="8" t="s">
        <v>21</v>
      </c>
      <c r="D702" s="8">
        <v>1</v>
      </c>
      <c r="E702" s="8">
        <v>52</v>
      </c>
      <c r="F702" s="8" t="s">
        <v>27</v>
      </c>
      <c r="G702" s="8" t="s">
        <v>260</v>
      </c>
      <c r="H702" s="8" t="str">
        <f t="shared" ca="1" si="12"/>
        <v>Liquefied Natural Gas</v>
      </c>
      <c r="I702" s="11" t="s">
        <v>181</v>
      </c>
      <c r="J702" s="11" t="s">
        <v>352</v>
      </c>
      <c r="K702" s="16" t="s">
        <v>502</v>
      </c>
    </row>
    <row r="703" spans="1:11" x14ac:dyDescent="0.35">
      <c r="A703" s="8" t="s">
        <v>450</v>
      </c>
      <c r="B703" s="8">
        <v>10</v>
      </c>
      <c r="C703" s="8" t="s">
        <v>21</v>
      </c>
      <c r="D703" s="8">
        <v>1</v>
      </c>
      <c r="E703" s="8">
        <v>52</v>
      </c>
      <c r="F703" s="8" t="s">
        <v>27</v>
      </c>
      <c r="G703" s="8" t="s">
        <v>260</v>
      </c>
      <c r="H703" s="8" t="str">
        <f t="shared" ca="1" si="12"/>
        <v>Propane (liquid)</v>
      </c>
      <c r="I703" s="11" t="s">
        <v>768</v>
      </c>
      <c r="J703" s="11" t="s">
        <v>769</v>
      </c>
      <c r="K703" s="16" t="s">
        <v>770</v>
      </c>
    </row>
    <row r="704" spans="1:11" x14ac:dyDescent="0.35">
      <c r="A704" s="8" t="s">
        <v>450</v>
      </c>
      <c r="B704" s="8">
        <v>10</v>
      </c>
      <c r="C704" s="8" t="s">
        <v>21</v>
      </c>
      <c r="D704" s="8">
        <v>1</v>
      </c>
      <c r="E704" s="8">
        <v>53</v>
      </c>
      <c r="F704" s="8" t="s">
        <v>241</v>
      </c>
      <c r="G704" s="8" t="s">
        <v>248</v>
      </c>
      <c r="H704" s="8" t="str">
        <f t="shared" ca="1" si="12"/>
        <v>Gaseous Fuels</v>
      </c>
      <c r="I704" s="2" t="s">
        <v>189</v>
      </c>
      <c r="J704" s="2" t="s">
        <v>457</v>
      </c>
      <c r="K704" s="2" t="s">
        <v>639</v>
      </c>
    </row>
    <row r="705" spans="1:11" x14ac:dyDescent="0.35">
      <c r="A705" s="8" t="s">
        <v>450</v>
      </c>
      <c r="B705" s="8">
        <v>10</v>
      </c>
      <c r="C705" s="8" t="s">
        <v>21</v>
      </c>
      <c r="D705" s="8">
        <v>1</v>
      </c>
      <c r="E705" s="8">
        <v>54</v>
      </c>
      <c r="F705" s="8" t="s">
        <v>27</v>
      </c>
      <c r="G705" s="8" t="s">
        <v>260</v>
      </c>
      <c r="H705" s="8" t="str">
        <f t="shared" ca="1" si="12"/>
        <v>Natural Gas</v>
      </c>
      <c r="I705" s="2" t="s">
        <v>97</v>
      </c>
      <c r="J705" s="2" t="s">
        <v>353</v>
      </c>
      <c r="K705" s="16" t="s">
        <v>503</v>
      </c>
    </row>
    <row r="706" spans="1:11" x14ac:dyDescent="0.35">
      <c r="A706" s="8" t="s">
        <v>450</v>
      </c>
      <c r="B706" s="8">
        <v>10</v>
      </c>
      <c r="C706" s="8" t="s">
        <v>21</v>
      </c>
      <c r="D706" s="8">
        <v>1</v>
      </c>
      <c r="E706" s="8">
        <v>55</v>
      </c>
      <c r="F706" s="8" t="s">
        <v>27</v>
      </c>
      <c r="G706" s="8" t="s">
        <v>260</v>
      </c>
      <c r="H706" s="8" t="str">
        <f t="shared" ca="1" si="12"/>
        <v>Coke Oven Gas</v>
      </c>
      <c r="I706" s="2" t="s">
        <v>182</v>
      </c>
      <c r="J706" s="2" t="s">
        <v>389</v>
      </c>
      <c r="K706" s="16" t="s">
        <v>504</v>
      </c>
    </row>
    <row r="707" spans="1:11" x14ac:dyDescent="0.35">
      <c r="A707" s="8" t="s">
        <v>450</v>
      </c>
      <c r="B707" s="8">
        <v>10</v>
      </c>
      <c r="C707" s="8" t="s">
        <v>21</v>
      </c>
      <c r="D707" s="8">
        <v>1</v>
      </c>
      <c r="E707" s="8">
        <v>56</v>
      </c>
      <c r="F707" s="8" t="s">
        <v>27</v>
      </c>
      <c r="G707" s="8" t="s">
        <v>260</v>
      </c>
      <c r="H707" s="8" t="str">
        <f t="shared" ca="1" si="12"/>
        <v>Blast Furnace Gas</v>
      </c>
      <c r="I707" s="2" t="s">
        <v>183</v>
      </c>
      <c r="J707" s="2" t="s">
        <v>415</v>
      </c>
      <c r="K707" s="16" t="s">
        <v>505</v>
      </c>
    </row>
    <row r="708" spans="1:11" x14ac:dyDescent="0.35">
      <c r="A708" s="8" t="s">
        <v>450</v>
      </c>
      <c r="B708" s="8">
        <v>10</v>
      </c>
      <c r="C708" s="8" t="s">
        <v>21</v>
      </c>
      <c r="D708" s="8">
        <v>1</v>
      </c>
      <c r="E708" s="8">
        <v>57</v>
      </c>
      <c r="F708" s="8" t="s">
        <v>27</v>
      </c>
      <c r="G708" s="8" t="s">
        <v>260</v>
      </c>
      <c r="H708" s="8" t="str">
        <f t="shared" ca="1" si="12"/>
        <v>Converter Gas</v>
      </c>
      <c r="I708" s="2" t="s">
        <v>184</v>
      </c>
      <c r="J708" s="2" t="s">
        <v>390</v>
      </c>
      <c r="K708" s="16" t="s">
        <v>506</v>
      </c>
    </row>
    <row r="709" spans="1:11" x14ac:dyDescent="0.35">
      <c r="A709" s="8" t="s">
        <v>450</v>
      </c>
      <c r="B709" s="8">
        <v>10</v>
      </c>
      <c r="C709" s="8" t="s">
        <v>21</v>
      </c>
      <c r="D709" s="8">
        <v>1</v>
      </c>
      <c r="E709" s="8">
        <v>58</v>
      </c>
      <c r="F709" s="8" t="s">
        <v>27</v>
      </c>
      <c r="G709" s="8" t="s">
        <v>260</v>
      </c>
      <c r="H709" s="8" t="str">
        <f t="shared" ca="1" si="12"/>
        <v>Gas of Calcium Carbide Furnace</v>
      </c>
      <c r="I709" s="11" t="s">
        <v>185</v>
      </c>
      <c r="J709" s="11" t="s">
        <v>394</v>
      </c>
      <c r="K709" s="16" t="s">
        <v>507</v>
      </c>
    </row>
    <row r="710" spans="1:11" x14ac:dyDescent="0.35">
      <c r="A710" s="8" t="s">
        <v>450</v>
      </c>
      <c r="B710" s="8">
        <v>10</v>
      </c>
      <c r="C710" s="8" t="s">
        <v>21</v>
      </c>
      <c r="D710" s="8">
        <v>1</v>
      </c>
      <c r="E710" s="8">
        <v>59</v>
      </c>
      <c r="F710" s="8" t="s">
        <v>27</v>
      </c>
      <c r="G710" s="8" t="s">
        <v>260</v>
      </c>
      <c r="H710" s="8" t="str">
        <f t="shared" ca="1" si="12"/>
        <v>Other Coal Gases</v>
      </c>
      <c r="I710" s="2" t="s">
        <v>186</v>
      </c>
      <c r="J710" s="2" t="s">
        <v>407</v>
      </c>
      <c r="K710" s="16" t="s">
        <v>508</v>
      </c>
    </row>
    <row r="711" spans="1:11" x14ac:dyDescent="0.35">
      <c r="A711" s="8" t="s">
        <v>450</v>
      </c>
      <c r="B711" s="8">
        <v>10</v>
      </c>
      <c r="C711" s="8" t="s">
        <v>21</v>
      </c>
      <c r="D711" s="8">
        <v>1</v>
      </c>
      <c r="E711" s="8">
        <v>60</v>
      </c>
      <c r="F711" s="8" t="s">
        <v>241</v>
      </c>
      <c r="G711" s="8" t="s">
        <v>248</v>
      </c>
      <c r="H711" s="8" t="str">
        <f t="shared" ca="1" si="12"/>
        <v>Application Type</v>
      </c>
      <c r="I711" s="2" t="s">
        <v>819</v>
      </c>
      <c r="J711" s="2" t="s">
        <v>849</v>
      </c>
      <c r="K711" s="16" t="s">
        <v>848</v>
      </c>
    </row>
    <row r="712" spans="1:11" x14ac:dyDescent="0.35">
      <c r="A712" s="8" t="s">
        <v>450</v>
      </c>
      <c r="B712" s="8">
        <v>10</v>
      </c>
      <c r="C712" s="8" t="s">
        <v>21</v>
      </c>
      <c r="D712" s="8">
        <v>1</v>
      </c>
      <c r="E712" s="8">
        <v>61</v>
      </c>
      <c r="F712" s="8" t="s">
        <v>27</v>
      </c>
      <c r="G712" s="8" t="s">
        <v>260</v>
      </c>
      <c r="H712" s="8" t="str">
        <f t="shared" ca="1" si="12"/>
        <v>Gas Turbine</v>
      </c>
      <c r="I712" s="2" t="s">
        <v>818</v>
      </c>
      <c r="J712" s="2" t="s">
        <v>850</v>
      </c>
      <c r="K712" s="16" t="s">
        <v>851</v>
      </c>
    </row>
    <row r="713" spans="1:11" x14ac:dyDescent="0.35">
      <c r="A713" s="8" t="s">
        <v>450</v>
      </c>
      <c r="B713" s="8">
        <v>10</v>
      </c>
      <c r="C713" s="8" t="s">
        <v>21</v>
      </c>
      <c r="D713" s="8">
        <v>1</v>
      </c>
      <c r="E713" s="8">
        <v>62</v>
      </c>
      <c r="F713" s="8" t="s">
        <v>27</v>
      </c>
      <c r="G713" s="8" t="s">
        <v>260</v>
      </c>
      <c r="H713" s="8" t="str">
        <f t="shared" ca="1" si="12"/>
        <v>Gas Recip. Engine (2-Stroke Lean-Burn)</v>
      </c>
      <c r="I713" s="2" t="s">
        <v>820</v>
      </c>
      <c r="J713" s="2" t="s">
        <v>854</v>
      </c>
      <c r="K713" s="16" t="s">
        <v>852</v>
      </c>
    </row>
    <row r="714" spans="1:11" x14ac:dyDescent="0.35">
      <c r="A714" s="8" t="s">
        <v>450</v>
      </c>
      <c r="B714" s="8">
        <v>10</v>
      </c>
      <c r="C714" s="8" t="s">
        <v>21</v>
      </c>
      <c r="D714" s="8">
        <v>1</v>
      </c>
      <c r="E714" s="8">
        <v>63</v>
      </c>
      <c r="F714" s="8" t="s">
        <v>27</v>
      </c>
      <c r="G714" s="8" t="s">
        <v>260</v>
      </c>
      <c r="H714" s="8" t="str">
        <f t="shared" ca="1" si="12"/>
        <v>Gas Recip. Engine (4-Stroke Lean-Burn)</v>
      </c>
      <c r="I714" s="2" t="s">
        <v>821</v>
      </c>
      <c r="J714" s="2" t="s">
        <v>855</v>
      </c>
      <c r="K714" s="16" t="s">
        <v>853</v>
      </c>
    </row>
    <row r="715" spans="1:11" x14ac:dyDescent="0.35">
      <c r="A715" s="8" t="s">
        <v>450</v>
      </c>
      <c r="B715" s="8">
        <v>10</v>
      </c>
      <c r="C715" s="8" t="s">
        <v>21</v>
      </c>
      <c r="D715" s="8">
        <v>1</v>
      </c>
      <c r="E715" s="8">
        <v>64</v>
      </c>
      <c r="F715" s="8" t="s">
        <v>27</v>
      </c>
      <c r="G715" s="8" t="s">
        <v>260</v>
      </c>
      <c r="H715" s="8" t="str">
        <f t="shared" ca="1" si="12"/>
        <v>Gas Recip. Engine (4-Stroke Rich-Burn)</v>
      </c>
      <c r="I715" s="2" t="s">
        <v>822</v>
      </c>
      <c r="J715" s="2" t="s">
        <v>856</v>
      </c>
      <c r="K715" s="16" t="s">
        <v>857</v>
      </c>
    </row>
    <row r="716" spans="1:11" x14ac:dyDescent="0.35">
      <c r="A716" s="8" t="s">
        <v>450</v>
      </c>
      <c r="B716" s="8">
        <v>10</v>
      </c>
      <c r="C716" s="8" t="s">
        <v>21</v>
      </c>
      <c r="D716" s="8">
        <v>1</v>
      </c>
      <c r="E716" s="8">
        <v>65</v>
      </c>
      <c r="F716" s="8" t="s">
        <v>27</v>
      </c>
      <c r="G716" s="8" t="s">
        <v>260</v>
      </c>
      <c r="H716" s="8" t="str">
        <f t="shared" ca="1" si="12"/>
        <v>Heaters &amp; Boilers</v>
      </c>
      <c r="I716" s="2" t="s">
        <v>824</v>
      </c>
      <c r="J716" s="2" t="s">
        <v>859</v>
      </c>
      <c r="K716" s="16" t="s">
        <v>858</v>
      </c>
    </row>
    <row r="717" spans="1:11" x14ac:dyDescent="0.35">
      <c r="A717" s="8" t="s">
        <v>450</v>
      </c>
      <c r="B717" s="8">
        <v>10</v>
      </c>
      <c r="C717" s="8" t="s">
        <v>21</v>
      </c>
      <c r="D717" s="8">
        <v>1</v>
      </c>
      <c r="E717" s="8">
        <v>66</v>
      </c>
      <c r="F717" s="8" t="s">
        <v>27</v>
      </c>
      <c r="G717" s="8" t="s">
        <v>260</v>
      </c>
      <c r="H717" s="8" t="str">
        <f t="shared" ca="1" si="12"/>
        <v>Heaters &amp; Boilers (Low-NOx)</v>
      </c>
      <c r="I717" s="2" t="s">
        <v>825</v>
      </c>
      <c r="J717" s="2" t="s">
        <v>860</v>
      </c>
      <c r="K717" s="16" t="s">
        <v>861</v>
      </c>
    </row>
    <row r="718" spans="1:11" x14ac:dyDescent="0.35">
      <c r="A718" s="8" t="s">
        <v>450</v>
      </c>
      <c r="B718" s="8">
        <v>10</v>
      </c>
      <c r="C718" s="8" t="s">
        <v>21</v>
      </c>
      <c r="D718" s="8">
        <v>1</v>
      </c>
      <c r="E718" s="8">
        <v>67</v>
      </c>
      <c r="F718" s="8" t="s">
        <v>241</v>
      </c>
      <c r="G718" s="8" t="s">
        <v>248</v>
      </c>
      <c r="H718" s="8" t="str">
        <f t="shared" ca="1" si="12"/>
        <v xml:space="preserve">Language </v>
      </c>
      <c r="I718" s="2" t="s">
        <v>357</v>
      </c>
      <c r="J718" s="2" t="s">
        <v>456</v>
      </c>
      <c r="K718" s="2" t="s">
        <v>640</v>
      </c>
    </row>
    <row r="719" spans="1:11" x14ac:dyDescent="0.35">
      <c r="A719" s="8" t="s">
        <v>450</v>
      </c>
      <c r="B719" s="8">
        <v>10</v>
      </c>
      <c r="C719" s="8" t="s">
        <v>21</v>
      </c>
      <c r="D719" s="8">
        <v>1</v>
      </c>
      <c r="E719" s="8">
        <v>68</v>
      </c>
      <c r="F719" s="8" t="s">
        <v>27</v>
      </c>
      <c r="G719" s="8" t="s">
        <v>260</v>
      </c>
      <c r="H719" s="8" t="str">
        <f t="shared" ca="1" si="12"/>
        <v>英语/English</v>
      </c>
      <c r="I719" s="2" t="s">
        <v>360</v>
      </c>
      <c r="J719" s="2" t="s">
        <v>360</v>
      </c>
      <c r="K719" s="2" t="s">
        <v>360</v>
      </c>
    </row>
    <row r="720" spans="1:11" x14ac:dyDescent="0.35">
      <c r="A720" s="8" t="s">
        <v>450</v>
      </c>
      <c r="B720" s="8">
        <v>10</v>
      </c>
      <c r="C720" s="8" t="s">
        <v>21</v>
      </c>
      <c r="D720" s="8">
        <v>1</v>
      </c>
      <c r="E720" s="8">
        <v>69</v>
      </c>
      <c r="F720" s="8" t="s">
        <v>27</v>
      </c>
      <c r="G720" s="8" t="s">
        <v>260</v>
      </c>
      <c r="H720" s="8" t="str">
        <f t="shared" ca="1" si="12"/>
        <v>中文</v>
      </c>
      <c r="I720" s="7" t="s">
        <v>358</v>
      </c>
      <c r="J720" s="7" t="s">
        <v>358</v>
      </c>
      <c r="K720" s="7" t="s">
        <v>358</v>
      </c>
    </row>
    <row r="721" spans="1:36" x14ac:dyDescent="0.35">
      <c r="A721" s="8" t="s">
        <v>450</v>
      </c>
      <c r="B721" s="8">
        <v>10</v>
      </c>
      <c r="C721" s="8" t="s">
        <v>21</v>
      </c>
      <c r="D721" s="8">
        <v>1</v>
      </c>
      <c r="E721" s="8">
        <v>70</v>
      </c>
      <c r="F721" s="8" t="s">
        <v>27</v>
      </c>
      <c r="G721" s="8" t="s">
        <v>260</v>
      </c>
      <c r="H721" s="8" t="str">
        <f t="shared" ca="1" si="12"/>
        <v>Española (Colombia)</v>
      </c>
      <c r="I721" s="2" t="s">
        <v>443</v>
      </c>
      <c r="J721" s="2" t="s">
        <v>443</v>
      </c>
      <c r="K721" s="2" t="s">
        <v>443</v>
      </c>
    </row>
    <row r="722" spans="1:36" x14ac:dyDescent="0.35">
      <c r="A722" s="2" t="s">
        <v>429</v>
      </c>
      <c r="B722" s="8">
        <v>14</v>
      </c>
      <c r="C722" s="2" t="s">
        <v>429</v>
      </c>
      <c r="D722" s="8">
        <v>1</v>
      </c>
      <c r="E722" s="2">
        <f>ROW(A1)</f>
        <v>1</v>
      </c>
      <c r="F722" s="8" t="s">
        <v>241</v>
      </c>
      <c r="G722" s="8" t="s">
        <v>260</v>
      </c>
      <c r="H722" s="8" t="str">
        <f t="shared" ref="H722:H732" ca="1" si="13">IF(INDIRECT($C$1&amp;ROW())="","",INDIRECT($C$1&amp;ROW()))</f>
        <v>Language</v>
      </c>
      <c r="I722" s="2" t="s">
        <v>359</v>
      </c>
      <c r="J722" s="2" t="s">
        <v>430</v>
      </c>
      <c r="K722" s="16" t="s">
        <v>640</v>
      </c>
    </row>
    <row r="723" spans="1:36" x14ac:dyDescent="0.35">
      <c r="A723" s="2" t="s">
        <v>429</v>
      </c>
      <c r="B723" s="8">
        <v>14</v>
      </c>
      <c r="C723" s="2" t="s">
        <v>429</v>
      </c>
      <c r="D723" s="8">
        <v>1</v>
      </c>
      <c r="E723" s="2">
        <f>ROW(A3)</f>
        <v>3</v>
      </c>
      <c r="F723" s="8" t="s">
        <v>241</v>
      </c>
      <c r="G723" s="8" t="s">
        <v>249</v>
      </c>
      <c r="H723" s="8" t="str">
        <f t="shared" ca="1" si="13"/>
        <v>Worksheet</v>
      </c>
      <c r="I723" s="2" t="s">
        <v>236</v>
      </c>
      <c r="J723" s="2" t="s">
        <v>431</v>
      </c>
      <c r="K723" s="16" t="s">
        <v>641</v>
      </c>
    </row>
    <row r="724" spans="1:36" x14ac:dyDescent="0.35">
      <c r="A724" s="2" t="s">
        <v>429</v>
      </c>
      <c r="B724" s="8">
        <v>14</v>
      </c>
      <c r="C724" s="2" t="s">
        <v>429</v>
      </c>
      <c r="D724" s="8">
        <v>1</v>
      </c>
      <c r="E724" s="2">
        <f>E723</f>
        <v>3</v>
      </c>
      <c r="F724" s="8" t="s">
        <v>243</v>
      </c>
      <c r="G724" s="8" t="s">
        <v>249</v>
      </c>
      <c r="H724" s="8" t="str">
        <f t="shared" ca="1" si="13"/>
        <v>Worksheet No.</v>
      </c>
      <c r="I724" s="2" t="s">
        <v>354</v>
      </c>
      <c r="J724" s="2" t="s">
        <v>432</v>
      </c>
      <c r="K724" s="16" t="s">
        <v>642</v>
      </c>
    </row>
    <row r="725" spans="1:36" x14ac:dyDescent="0.35">
      <c r="A725" s="2" t="s">
        <v>429</v>
      </c>
      <c r="B725" s="8">
        <v>14</v>
      </c>
      <c r="C725" s="2" t="s">
        <v>429</v>
      </c>
      <c r="D725" s="8">
        <v>1</v>
      </c>
      <c r="E725" s="2">
        <f>E723</f>
        <v>3</v>
      </c>
      <c r="F725" s="8" t="s">
        <v>27</v>
      </c>
      <c r="G725" s="8" t="s">
        <v>249</v>
      </c>
      <c r="H725" s="8" t="str">
        <f t="shared" ca="1" si="13"/>
        <v>Table/Block</v>
      </c>
      <c r="I725" s="2" t="s">
        <v>240</v>
      </c>
      <c r="J725" s="2" t="s">
        <v>433</v>
      </c>
      <c r="K725" s="16" t="s">
        <v>643</v>
      </c>
    </row>
    <row r="726" spans="1:36" x14ac:dyDescent="0.35">
      <c r="A726" s="2" t="s">
        <v>429</v>
      </c>
      <c r="B726" s="8">
        <v>14</v>
      </c>
      <c r="C726" s="2" t="s">
        <v>429</v>
      </c>
      <c r="D726" s="8">
        <v>1</v>
      </c>
      <c r="E726" s="2">
        <f>E723</f>
        <v>3</v>
      </c>
      <c r="F726" s="8" t="s">
        <v>245</v>
      </c>
      <c r="G726" s="8" t="s">
        <v>249</v>
      </c>
      <c r="H726" s="8" t="str">
        <f t="shared" ca="1" si="13"/>
        <v>Table/Block No.</v>
      </c>
      <c r="I726" s="2" t="s">
        <v>355</v>
      </c>
      <c r="J726" s="2" t="s">
        <v>437</v>
      </c>
      <c r="K726" s="16" t="s">
        <v>644</v>
      </c>
    </row>
    <row r="727" spans="1:36" x14ac:dyDescent="0.35">
      <c r="A727" s="2" t="s">
        <v>429</v>
      </c>
      <c r="B727" s="8">
        <v>14</v>
      </c>
      <c r="C727" s="2" t="s">
        <v>429</v>
      </c>
      <c r="D727" s="8">
        <v>1</v>
      </c>
      <c r="E727" s="2">
        <f>E723</f>
        <v>3</v>
      </c>
      <c r="F727" s="8" t="s">
        <v>246</v>
      </c>
      <c r="G727" s="8" t="s">
        <v>249</v>
      </c>
      <c r="H727" s="8" t="str">
        <f t="shared" ca="1" si="13"/>
        <v>Row</v>
      </c>
      <c r="I727" s="2" t="s">
        <v>237</v>
      </c>
      <c r="J727" s="2" t="s">
        <v>434</v>
      </c>
      <c r="K727" s="16" t="s">
        <v>645</v>
      </c>
    </row>
    <row r="728" spans="1:36" x14ac:dyDescent="0.35">
      <c r="A728" s="2" t="s">
        <v>429</v>
      </c>
      <c r="B728" s="8">
        <v>14</v>
      </c>
      <c r="C728" s="2" t="s">
        <v>429</v>
      </c>
      <c r="D728" s="8">
        <v>1</v>
      </c>
      <c r="E728" s="2">
        <f>E723</f>
        <v>3</v>
      </c>
      <c r="F728" s="8" t="s">
        <v>247</v>
      </c>
      <c r="G728" s="8" t="s">
        <v>249</v>
      </c>
      <c r="H728" s="8" t="str">
        <f t="shared" ca="1" si="13"/>
        <v>Column</v>
      </c>
      <c r="I728" s="2" t="s">
        <v>106</v>
      </c>
      <c r="J728" s="2" t="s">
        <v>304</v>
      </c>
      <c r="K728" s="16" t="s">
        <v>510</v>
      </c>
    </row>
    <row r="729" spans="1:36" x14ac:dyDescent="0.35">
      <c r="A729" s="2" t="s">
        <v>429</v>
      </c>
      <c r="B729" s="8">
        <v>14</v>
      </c>
      <c r="C729" s="2" t="s">
        <v>429</v>
      </c>
      <c r="D729" s="8">
        <v>1</v>
      </c>
      <c r="E729" s="2">
        <f>E723</f>
        <v>3</v>
      </c>
      <c r="F729" s="8" t="s">
        <v>251</v>
      </c>
      <c r="G729" s="8" t="s">
        <v>249</v>
      </c>
      <c r="H729" s="8" t="str">
        <f t="shared" ca="1" si="13"/>
        <v>Type</v>
      </c>
      <c r="I729" s="2" t="s">
        <v>0</v>
      </c>
      <c r="J729" s="2" t="s">
        <v>256</v>
      </c>
      <c r="K729" s="16" t="s">
        <v>481</v>
      </c>
    </row>
    <row r="730" spans="1:36" x14ac:dyDescent="0.35">
      <c r="A730" s="2" t="s">
        <v>429</v>
      </c>
      <c r="B730" s="8">
        <v>14</v>
      </c>
      <c r="C730" s="2" t="s">
        <v>429</v>
      </c>
      <c r="D730" s="8">
        <v>1</v>
      </c>
      <c r="E730" s="2">
        <f>E723</f>
        <v>3</v>
      </c>
      <c r="F730" s="8" t="s">
        <v>173</v>
      </c>
      <c r="G730" s="8" t="s">
        <v>249</v>
      </c>
      <c r="H730" s="8" t="str">
        <f t="shared" ca="1" si="13"/>
        <v>Active</v>
      </c>
      <c r="I730" s="2" t="s">
        <v>238</v>
      </c>
      <c r="J730" s="2" t="s">
        <v>435</v>
      </c>
      <c r="K730" s="16" t="s">
        <v>646</v>
      </c>
    </row>
    <row r="731" spans="1:36" x14ac:dyDescent="0.35">
      <c r="A731" s="2" t="s">
        <v>429</v>
      </c>
      <c r="B731" s="8">
        <v>14</v>
      </c>
      <c r="C731" s="2" t="s">
        <v>429</v>
      </c>
      <c r="D731" s="8">
        <v>1</v>
      </c>
      <c r="E731" s="2">
        <f>E723</f>
        <v>3</v>
      </c>
      <c r="F731" s="8" t="s">
        <v>252</v>
      </c>
      <c r="G731" s="8" t="s">
        <v>249</v>
      </c>
      <c r="H731" s="8" t="str">
        <f t="shared" ca="1" si="13"/>
        <v>English</v>
      </c>
      <c r="I731" s="2" t="s">
        <v>798</v>
      </c>
      <c r="J731" s="2" t="s">
        <v>436</v>
      </c>
      <c r="K731" s="16" t="s">
        <v>647</v>
      </c>
    </row>
    <row r="732" spans="1:36" x14ac:dyDescent="0.35">
      <c r="A732" s="2" t="s">
        <v>429</v>
      </c>
      <c r="B732" s="8">
        <v>14</v>
      </c>
      <c r="C732" s="2" t="s">
        <v>429</v>
      </c>
      <c r="D732" s="8">
        <v>1</v>
      </c>
      <c r="E732" s="2">
        <f>E723</f>
        <v>3</v>
      </c>
      <c r="F732" s="8" t="s">
        <v>253</v>
      </c>
      <c r="G732" s="8" t="s">
        <v>249</v>
      </c>
      <c r="H732" s="8" t="str">
        <f t="shared" ca="1" si="13"/>
        <v>Chinese</v>
      </c>
      <c r="I732" s="2" t="s">
        <v>239</v>
      </c>
      <c r="J732" s="2" t="s">
        <v>358</v>
      </c>
      <c r="K732" s="16" t="s">
        <v>648</v>
      </c>
    </row>
    <row r="733" spans="1:36" s="2" customFormat="1" x14ac:dyDescent="0.35">
      <c r="A733" s="2" t="s">
        <v>429</v>
      </c>
      <c r="B733" s="8">
        <v>14</v>
      </c>
      <c r="C733" s="2" t="s">
        <v>429</v>
      </c>
      <c r="D733" s="8">
        <v>1</v>
      </c>
      <c r="E733" s="2">
        <v>3</v>
      </c>
      <c r="F733" s="8" t="s">
        <v>263</v>
      </c>
      <c r="G733" s="8" t="s">
        <v>249</v>
      </c>
      <c r="H733" s="8" t="s">
        <v>649</v>
      </c>
      <c r="I733" s="2" t="s">
        <v>649</v>
      </c>
      <c r="J733" s="2" t="s">
        <v>650</v>
      </c>
      <c r="K733" s="18" t="s">
        <v>652</v>
      </c>
      <c r="L733"/>
      <c r="M733"/>
      <c r="N733"/>
      <c r="O733"/>
      <c r="P733"/>
      <c r="Q733"/>
      <c r="R733"/>
      <c r="S733"/>
      <c r="T733"/>
      <c r="U733"/>
      <c r="V733"/>
      <c r="W733"/>
      <c r="X733"/>
      <c r="Y733"/>
      <c r="Z733"/>
      <c r="AA733"/>
      <c r="AB733"/>
      <c r="AC733"/>
      <c r="AD733"/>
      <c r="AE733"/>
      <c r="AF733"/>
      <c r="AG733"/>
      <c r="AH733"/>
      <c r="AI733"/>
      <c r="AJ733"/>
    </row>
  </sheetData>
  <sheetProtection algorithmName="SHA-512" hashValue="Az6HrtZ4bnK6pfRbT9zxLvUErGglQcud3ZDZbTMZDgCg2FpYwHo0BXBshVIdknXABkbMM7Xv8QVZI9S6Xv1gnw==" saltValue="EA+Hveo6cJaQ/gx8BXlkOg==" spinCount="100000" sheet="1" objects="1" scenarios="1"/>
  <phoneticPr fontId="18" type="noConversion"/>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0C9F5"/>
  </sheetPr>
  <dimension ref="A1:S27"/>
  <sheetViews>
    <sheetView showGridLines="0" tabSelected="1" workbookViewId="0">
      <selection sqref="A1:C1"/>
    </sheetView>
  </sheetViews>
  <sheetFormatPr defaultColWidth="9.1796875" defaultRowHeight="14" x14ac:dyDescent="0.3"/>
  <cols>
    <col min="1" max="1" width="35.81640625" style="23" customWidth="1"/>
    <col min="2" max="2" width="10.81640625" style="23" customWidth="1"/>
    <col min="3" max="3" width="45.81640625" style="23" customWidth="1"/>
    <col min="4" max="18" width="9.1796875" style="23"/>
    <col min="19" max="19" width="12.1796875" style="23" hidden="1" customWidth="1"/>
    <col min="20" max="16384" width="9.1796875" style="23"/>
  </cols>
  <sheetData>
    <row r="1" spans="1:19" ht="40.15" customHeight="1" x14ac:dyDescent="0.3">
      <c r="A1" s="256" t="str">
        <f ca="1">'Translation Table'!H5</f>
        <v>Which language would you like to pick?</v>
      </c>
      <c r="B1" s="257"/>
      <c r="C1" s="258"/>
      <c r="S1" s="23" t="str">
        <f>SUBSTITUTE(SUBSTITUTE(SUBSTITUTE(SUBSTITUTE(C2,"/",""),"(",""),")","")," ","")</f>
        <v>English</v>
      </c>
    </row>
    <row r="2" spans="1:19" ht="35.15" customHeight="1" x14ac:dyDescent="0.3">
      <c r="A2" s="107" t="str">
        <f ca="1">'Translation Table'!H6</f>
        <v>Language:</v>
      </c>
      <c r="B2" s="24"/>
      <c r="C2" s="108" t="s">
        <v>798</v>
      </c>
    </row>
    <row r="5" spans="1:19" ht="20" x14ac:dyDescent="0.3">
      <c r="A5" s="259" t="str">
        <f ca="1">'Translation Table'!H7</f>
        <v>Introduction:</v>
      </c>
      <c r="B5" s="259"/>
      <c r="C5" s="259"/>
    </row>
    <row r="6" spans="1:19" ht="69.75" customHeight="1" x14ac:dyDescent="0.3">
      <c r="A6" s="267" t="str">
        <f ca="1">'Translation Table'!H8</f>
        <v>This spreadsheet tool assesses atmospheric emissions of greenhouses gases (GHG) (i.e., CH4, CO2, N2O and CO2E) as well as selected criteria air contaminants (CAC) (i.e., NOx, CO, NMVOCs, and SO2) for oil and natural gas systems by segment (or subsector) using IPCC Tier-1 and Tier-2 methods. The results are presented in accordance with the UNFCCC common reporting format (CRF). The required input information is national statistics for the relevant activities and any Tier-2 emission factors that the user may wish to apply. All Tier-1 emission factors are already available in the this tool and are used by default in the absence of any Tier-2  emission factors. Tier-2 emission factors are determined by a jurisdiction based on the results of a rigorous bottom-up emissions assessment in a given year.</v>
      </c>
      <c r="B6" s="268"/>
      <c r="C6" s="269"/>
      <c r="D6" s="269"/>
      <c r="E6" s="269"/>
      <c r="F6" s="269"/>
      <c r="G6" s="269"/>
      <c r="H6" s="269"/>
      <c r="I6" s="269"/>
      <c r="J6" s="269"/>
      <c r="K6" s="269"/>
      <c r="L6" s="269"/>
      <c r="M6" s="269"/>
      <c r="N6" s="270"/>
    </row>
    <row r="7" spans="1:19" ht="10.5" customHeight="1" x14ac:dyDescent="0.3">
      <c r="A7" s="28"/>
      <c r="B7" s="29"/>
      <c r="N7" s="27"/>
    </row>
    <row r="8" spans="1:19" x14ac:dyDescent="0.3">
      <c r="A8" s="271" t="str">
        <f ca="1">'Translation Table'!H9</f>
        <v>The assessment results are summarized on the “Results (Tabular)” worksheet by primary source category and type of GHG.</v>
      </c>
      <c r="B8" s="272"/>
      <c r="C8" s="273"/>
      <c r="D8" s="273"/>
      <c r="E8" s="273"/>
      <c r="F8" s="273"/>
      <c r="G8" s="273"/>
      <c r="H8" s="273"/>
      <c r="I8" s="273"/>
      <c r="J8" s="273"/>
      <c r="K8" s="273"/>
      <c r="L8" s="273"/>
      <c r="M8" s="273"/>
      <c r="N8" s="274"/>
    </row>
    <row r="9" spans="1:19" ht="9" customHeight="1" x14ac:dyDescent="0.3">
      <c r="A9" s="28"/>
      <c r="B9" s="29"/>
      <c r="N9" s="27"/>
    </row>
    <row r="10" spans="1:19" ht="17.25" customHeight="1" x14ac:dyDescent="0.3">
      <c r="A10" s="275" t="str">
        <f ca="1">'Translation Table'!H10</f>
        <v xml:space="preserve">Additional information on this spreadsheet tool is provided in the user's manual. </v>
      </c>
      <c r="B10" s="276"/>
      <c r="C10" s="277"/>
      <c r="D10" s="277"/>
      <c r="E10" s="277"/>
      <c r="F10" s="277"/>
      <c r="G10" s="277"/>
      <c r="H10" s="277"/>
      <c r="I10" s="277"/>
      <c r="J10" s="277"/>
      <c r="K10" s="277"/>
      <c r="L10" s="277"/>
      <c r="M10" s="277"/>
      <c r="N10" s="278"/>
    </row>
    <row r="11" spans="1:19" ht="15.5" x14ac:dyDescent="0.3">
      <c r="A11" s="26"/>
      <c r="B11" s="26"/>
    </row>
    <row r="12" spans="1:19" ht="20" x14ac:dyDescent="0.3">
      <c r="A12" s="259" t="str">
        <f ca="1">'Translation Table'!H11</f>
        <v>Language Options:</v>
      </c>
      <c r="B12" s="259"/>
      <c r="C12" s="259"/>
    </row>
    <row r="13" spans="1:19" ht="29.25" customHeight="1" x14ac:dyDescent="0.3">
      <c r="A13" s="263" t="str">
        <f ca="1">'Translation Table'!H12</f>
        <v>This tool currently supports English, Mandarin Chinese and Spanish. The language of choice may be selected using the selection feature presented at the top of this worksheet.</v>
      </c>
      <c r="B13" s="264"/>
      <c r="C13" s="265"/>
      <c r="D13" s="265"/>
      <c r="E13" s="265"/>
      <c r="F13" s="265"/>
      <c r="G13" s="265"/>
      <c r="H13" s="265"/>
      <c r="I13" s="265"/>
      <c r="J13" s="265"/>
      <c r="K13" s="265"/>
      <c r="L13" s="265"/>
      <c r="M13" s="265"/>
      <c r="N13" s="266"/>
    </row>
    <row r="14" spans="1:19" ht="15.5" x14ac:dyDescent="0.3">
      <c r="A14" s="25"/>
      <c r="B14" s="25"/>
    </row>
    <row r="15" spans="1:19" ht="20.25" customHeight="1" x14ac:dyDescent="0.3">
      <c r="A15" s="259" t="str">
        <f ca="1">'Translation Table'!H13</f>
        <v>Navigation and Colour Coding Rules:</v>
      </c>
      <c r="B15" s="259"/>
      <c r="C15" s="259"/>
    </row>
    <row r="16" spans="1:19" ht="39" customHeight="1" x14ac:dyDescent="0.3">
      <c r="A16" s="263" t="str">
        <f ca="1">'Translation Table'!H14</f>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B16" s="264"/>
      <c r="C16" s="265"/>
      <c r="D16" s="265"/>
      <c r="E16" s="265"/>
      <c r="F16" s="265"/>
      <c r="G16" s="265"/>
      <c r="H16" s="265"/>
      <c r="I16" s="265"/>
      <c r="J16" s="265"/>
      <c r="K16" s="265"/>
      <c r="L16" s="265"/>
      <c r="M16" s="265"/>
      <c r="N16" s="266"/>
    </row>
    <row r="17" spans="1:14" ht="15.5" x14ac:dyDescent="0.3">
      <c r="A17" s="25"/>
      <c r="B17" s="25"/>
    </row>
    <row r="18" spans="1:14" ht="22.5" customHeight="1" x14ac:dyDescent="0.3">
      <c r="A18" s="259" t="str">
        <f ca="1">'Translation Table'!H15</f>
        <v>Calculations Setup</v>
      </c>
      <c r="B18" s="259"/>
      <c r="C18" s="259"/>
    </row>
    <row r="19" spans="1:14" ht="35.25" customHeight="1" x14ac:dyDescent="0.3">
      <c r="A19" s="263" t="str">
        <f ca="1">'Translation Table'!H16</f>
        <v>The “Setup – IPCC Assessment” worksheet is where the user defines which segments of a jurisdiction's oil and natural gas systems apply and providing corresponding activity data. The form allows the user to select different units of  measure. This is also where any Tier-2 emission factors would be entered.</v>
      </c>
      <c r="B19" s="264"/>
      <c r="C19" s="265"/>
      <c r="D19" s="265"/>
      <c r="E19" s="265"/>
      <c r="F19" s="265"/>
      <c r="G19" s="265"/>
      <c r="H19" s="265"/>
      <c r="I19" s="265"/>
      <c r="J19" s="265"/>
      <c r="K19" s="265"/>
      <c r="L19" s="265"/>
      <c r="M19" s="265"/>
      <c r="N19" s="266"/>
    </row>
    <row r="20" spans="1:14" ht="15.5" x14ac:dyDescent="0.3">
      <c r="A20" s="25"/>
      <c r="B20" s="25"/>
    </row>
    <row r="21" spans="1:14" ht="20.25" customHeight="1" x14ac:dyDescent="0.3">
      <c r="A21" s="259" t="str">
        <f ca="1">'Translation Table'!H17</f>
        <v>Applied Assessment Methodology:</v>
      </c>
      <c r="B21" s="259"/>
      <c r="C21" s="259"/>
    </row>
    <row r="22" spans="1:14" ht="46.5" customHeight="1" x14ac:dyDescent="0.3">
      <c r="A22" s="260" t="str">
        <f ca="1">'Translation Table'!H18</f>
        <v>Total GHG and CAC emissions for each segment of a jurisdiction's oil and natural gas systems are estimated using applicable national statistics and either a Tier-1 (by default) or Tier-2 (if available) emissions factor. The Tier-1 emission factors are from the 2019 refined IPCC Guidelines for Stationary Combustion (Chapter 2) and the Fugitive Emissions ( Chapter 4).</v>
      </c>
      <c r="B22" s="261"/>
      <c r="C22" s="261"/>
      <c r="D22" s="261"/>
      <c r="E22" s="261"/>
      <c r="F22" s="261"/>
      <c r="G22" s="261"/>
      <c r="H22" s="261"/>
      <c r="I22" s="261"/>
      <c r="J22" s="261"/>
      <c r="K22" s="261"/>
      <c r="L22" s="261"/>
      <c r="M22" s="261"/>
      <c r="N22" s="262"/>
    </row>
    <row r="23" spans="1:14" ht="15.5" x14ac:dyDescent="0.3">
      <c r="A23" s="25"/>
      <c r="B23" s="25"/>
    </row>
    <row r="24" spans="1:14" ht="15.5" x14ac:dyDescent="0.3">
      <c r="A24" s="25"/>
      <c r="B24" s="25"/>
    </row>
    <row r="27" spans="1:14" ht="15" customHeight="1" x14ac:dyDescent="0.3"/>
  </sheetData>
  <mergeCells count="13">
    <mergeCell ref="A1:C1"/>
    <mergeCell ref="A15:C15"/>
    <mergeCell ref="A18:C18"/>
    <mergeCell ref="A21:C21"/>
    <mergeCell ref="A22:N22"/>
    <mergeCell ref="A16:N16"/>
    <mergeCell ref="A19:N19"/>
    <mergeCell ref="A5:C5"/>
    <mergeCell ref="A6:N6"/>
    <mergeCell ref="A8:N8"/>
    <mergeCell ref="A13:N13"/>
    <mergeCell ref="A10:N10"/>
    <mergeCell ref="A12:C12"/>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'Lookup Lists'!$B$70:$B$75</xm:f>
          </x14:formula1>
          <xm:sqref>C2:C3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5D56-4C90-401C-9959-C67D776079D2}">
  <sheetPr>
    <tabColor rgb="FF50C9F5"/>
  </sheetPr>
  <dimension ref="A1:N10"/>
  <sheetViews>
    <sheetView showGridLines="0" workbookViewId="0"/>
  </sheetViews>
  <sheetFormatPr defaultColWidth="9.1796875" defaultRowHeight="14" x14ac:dyDescent="0.3"/>
  <cols>
    <col min="1" max="1" width="16.81640625" style="23" customWidth="1"/>
    <col min="2" max="2" width="21" style="23" customWidth="1"/>
    <col min="3" max="3" width="9.1796875" style="23"/>
    <col min="4" max="4" width="28.1796875" style="23" customWidth="1"/>
    <col min="5" max="5" width="9.1796875" style="23"/>
    <col min="6" max="6" width="9.81640625" style="23" customWidth="1"/>
    <col min="7" max="14" width="10.81640625" style="23" customWidth="1"/>
    <col min="15" max="16384" width="9.1796875" style="23"/>
  </cols>
  <sheetData>
    <row r="1" spans="1:14" ht="18" customHeight="1" thickBot="1" x14ac:dyDescent="0.4">
      <c r="A1" s="111" t="str">
        <f ca="1">'Translation Table'!H36</f>
        <v>Cell Styles</v>
      </c>
      <c r="B1" s="105"/>
      <c r="C1" s="105"/>
      <c r="D1" s="105"/>
      <c r="E1" s="105"/>
      <c r="F1" s="105"/>
      <c r="G1" s="105"/>
      <c r="H1" s="105"/>
      <c r="I1" s="105"/>
      <c r="J1" s="105"/>
      <c r="K1" s="105"/>
      <c r="L1" s="105"/>
      <c r="M1" s="105"/>
      <c r="N1" s="105"/>
    </row>
    <row r="2" spans="1:14" ht="16.5" customHeight="1" x14ac:dyDescent="0.35">
      <c r="A2" s="106" t="str">
        <f ca="1">'Translation Table'!H37</f>
        <v>Warning</v>
      </c>
      <c r="B2" s="105"/>
      <c r="C2" s="105"/>
      <c r="D2" s="105"/>
      <c r="E2" s="105"/>
      <c r="F2" s="105"/>
      <c r="G2" s="105"/>
      <c r="H2" s="105"/>
      <c r="I2" s="105"/>
      <c r="J2" s="105"/>
      <c r="K2" s="105"/>
      <c r="L2" s="105"/>
      <c r="M2" s="105"/>
      <c r="N2" s="105"/>
    </row>
    <row r="3" spans="1:14" ht="14.25" customHeight="1" x14ac:dyDescent="0.35">
      <c r="A3" s="109" t="str">
        <f ca="1">'Translation Table'!H38</f>
        <v>Input Cell</v>
      </c>
      <c r="B3" s="105"/>
      <c r="C3" s="105"/>
      <c r="D3" s="105"/>
      <c r="E3" s="105"/>
      <c r="F3" s="105"/>
      <c r="G3" s="105"/>
      <c r="H3" s="105"/>
      <c r="I3" s="105"/>
      <c r="J3" s="105"/>
      <c r="K3" s="105"/>
      <c r="L3" s="105"/>
      <c r="M3" s="105"/>
      <c r="N3" s="105"/>
    </row>
    <row r="4" spans="1:14" ht="15.5" x14ac:dyDescent="0.35">
      <c r="A4" s="101"/>
      <c r="B4" s="101"/>
    </row>
    <row r="5" spans="1:14" ht="22.5" x14ac:dyDescent="0.45">
      <c r="A5" s="290" t="str">
        <f ca="1">'Translation Table'!H19</f>
        <v>Table of Contents</v>
      </c>
      <c r="B5" s="290"/>
      <c r="C5" s="30"/>
    </row>
    <row r="6" spans="1:14" ht="18.75" customHeight="1" x14ac:dyDescent="0.3">
      <c r="A6" s="294" t="str">
        <f ca="1">'Translation Table'!H20</f>
        <v>Tab Name</v>
      </c>
      <c r="B6" s="294"/>
      <c r="C6" s="294" t="str">
        <f ca="1">'Translation Table'!H21</f>
        <v>Translated Tab Name</v>
      </c>
      <c r="D6" s="294"/>
      <c r="E6" s="294" t="str">
        <f ca="1">'Translation Table'!H22</f>
        <v>Hyperlink</v>
      </c>
      <c r="F6" s="294"/>
      <c r="G6" s="291" t="str">
        <f ca="1">'Translation Table'!H30</f>
        <v>Description</v>
      </c>
      <c r="H6" s="292"/>
      <c r="I6" s="292"/>
      <c r="J6" s="292"/>
      <c r="K6" s="292"/>
      <c r="L6" s="292"/>
      <c r="M6" s="292"/>
      <c r="N6" s="292"/>
    </row>
    <row r="7" spans="1:14" ht="32.25" customHeight="1" x14ac:dyDescent="0.3">
      <c r="A7" s="282" t="s">
        <v>985</v>
      </c>
      <c r="B7" s="283"/>
      <c r="C7" s="286" t="str">
        <f ca="1">'Translation Table'!H25</f>
        <v>Language &amp; User Guidance</v>
      </c>
      <c r="D7" s="287"/>
      <c r="E7" s="295"/>
      <c r="F7" s="296"/>
      <c r="G7" s="293" t="str">
        <f ca="1">'Translation Table'!H31</f>
        <v>This tool currently supports English, Mandarin Chinese, and Spanish. The language of choice may be selected using the selection feature located at the top of the "Language &amp; User Guidance" worksheet.</v>
      </c>
      <c r="H7" s="293"/>
      <c r="I7" s="293"/>
      <c r="J7" s="293"/>
      <c r="K7" s="293"/>
      <c r="L7" s="293"/>
      <c r="M7" s="293"/>
      <c r="N7" s="293"/>
    </row>
    <row r="8" spans="1:14" ht="45.75" customHeight="1" x14ac:dyDescent="0.3">
      <c r="A8" s="282" t="s">
        <v>1194</v>
      </c>
      <c r="B8" s="283"/>
      <c r="C8" s="286" t="str">
        <f ca="1">'Translation Table'!H26</f>
        <v>Results (Graphical)</v>
      </c>
      <c r="D8" s="287"/>
      <c r="E8" s="284"/>
      <c r="F8" s="285"/>
      <c r="G8" s="279" t="str">
        <f ca="1">'Translation Table'!H32</f>
        <v>This worksheet presents a pie-chart showing the percentage distribution of a user-specified climate or air pollutant by segment of a jurisdictions oil and natural gas systems. Total assessed annual emissions of the selected pollutant is also given in units of tonnes.</v>
      </c>
      <c r="H8" s="280"/>
      <c r="I8" s="280"/>
      <c r="J8" s="280"/>
      <c r="K8" s="280"/>
      <c r="L8" s="280"/>
      <c r="M8" s="280"/>
      <c r="N8" s="281"/>
    </row>
    <row r="9" spans="1:14" ht="46.5" customHeight="1" x14ac:dyDescent="0.3">
      <c r="A9" s="282" t="s">
        <v>1193</v>
      </c>
      <c r="B9" s="283"/>
      <c r="C9" s="286" t="str">
        <f ca="1">'Translation Table'!H27</f>
        <v>Results (Tabular)</v>
      </c>
      <c r="D9" s="287"/>
      <c r="E9" s="284"/>
      <c r="F9" s="285"/>
      <c r="G9" s="279" t="str">
        <f ca="1">'Translation Table'!H33</f>
        <v>This worksheet presents a tabular summary of the assessed emissions in units of tonnes by type of pollutant for each segment of the oil and natural gas systems.</v>
      </c>
      <c r="H9" s="280"/>
      <c r="I9" s="280"/>
      <c r="J9" s="280"/>
      <c r="K9" s="280"/>
      <c r="L9" s="280"/>
      <c r="M9" s="280"/>
      <c r="N9" s="281"/>
    </row>
    <row r="10" spans="1:14" ht="33.75" customHeight="1" x14ac:dyDescent="0.3">
      <c r="A10" s="282" t="s">
        <v>989</v>
      </c>
      <c r="B10" s="283"/>
      <c r="C10" s="286" t="str">
        <f ca="1">'Translation Table'!H28</f>
        <v>Setup – IPCC Assessment</v>
      </c>
      <c r="D10" s="287"/>
      <c r="E10" s="288"/>
      <c r="F10" s="289"/>
      <c r="G10" s="279" t="str">
        <f ca="1">'Translation Table'!H34</f>
        <v>This worksheet is where you enter the activity data needed to drive the applicable emission calculations and, if available, any provide any related Tier-2 emission factors.</v>
      </c>
      <c r="H10" s="280"/>
      <c r="I10" s="280"/>
      <c r="J10" s="280"/>
      <c r="K10" s="280"/>
      <c r="L10" s="280"/>
      <c r="M10" s="280"/>
      <c r="N10" s="281"/>
    </row>
  </sheetData>
  <mergeCells count="21">
    <mergeCell ref="A5:B5"/>
    <mergeCell ref="G6:N6"/>
    <mergeCell ref="G7:N7"/>
    <mergeCell ref="C7:D7"/>
    <mergeCell ref="E6:F6"/>
    <mergeCell ref="E7:F7"/>
    <mergeCell ref="A7:B7"/>
    <mergeCell ref="C6:D6"/>
    <mergeCell ref="A6:B6"/>
    <mergeCell ref="G10:N10"/>
    <mergeCell ref="A8:B8"/>
    <mergeCell ref="G8:N8"/>
    <mergeCell ref="G9:N9"/>
    <mergeCell ref="E9:F9"/>
    <mergeCell ref="C9:D9"/>
    <mergeCell ref="E8:F8"/>
    <mergeCell ref="E10:F10"/>
    <mergeCell ref="A9:B9"/>
    <mergeCell ref="C10:D10"/>
    <mergeCell ref="A10:B10"/>
    <mergeCell ref="C8:D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7C2AC-C800-4501-B9AE-94FB20CF753B}">
  <sheetPr>
    <tabColor rgb="FF00C698"/>
    <pageSetUpPr fitToPage="1"/>
  </sheetPr>
  <dimension ref="A1:AV26"/>
  <sheetViews>
    <sheetView showGridLines="0" workbookViewId="0">
      <selection sqref="A1:P1"/>
    </sheetView>
  </sheetViews>
  <sheetFormatPr defaultRowHeight="14.5" x14ac:dyDescent="0.35"/>
  <cols>
    <col min="33" max="37" width="9.1796875" style="194"/>
    <col min="38" max="47" width="9.1796875" style="207" customWidth="1"/>
    <col min="48" max="48" width="9.1796875" style="194"/>
  </cols>
  <sheetData>
    <row r="1" spans="1:48" ht="26.25" customHeight="1" x14ac:dyDescent="0.35">
      <c r="A1" s="300" t="str">
        <f ca="1">'Translation Table'!H42</f>
        <v>System-Wide Emission Results (IPCC) - Summary by Industry Segment and Pollutant Type</v>
      </c>
      <c r="B1" s="300"/>
      <c r="C1" s="300"/>
      <c r="D1" s="300"/>
      <c r="E1" s="300"/>
      <c r="F1" s="300"/>
      <c r="G1" s="300"/>
      <c r="H1" s="300"/>
      <c r="I1" s="300"/>
      <c r="J1" s="300"/>
      <c r="K1" s="300"/>
      <c r="L1" s="300"/>
      <c r="M1" s="300"/>
      <c r="N1" s="300"/>
      <c r="O1" s="300"/>
      <c r="P1" s="300"/>
      <c r="Q1" s="192"/>
      <c r="R1" s="192"/>
      <c r="S1" s="192"/>
      <c r="T1" s="192"/>
      <c r="U1" s="192"/>
      <c r="V1" s="192"/>
      <c r="W1" s="192"/>
      <c r="X1" s="192"/>
      <c r="Y1" s="193"/>
      <c r="Z1" s="193"/>
      <c r="AA1" s="193"/>
    </row>
    <row r="2" spans="1:48" ht="12.75" customHeight="1" x14ac:dyDescent="0.35">
      <c r="A2" s="204"/>
      <c r="B2" s="204"/>
      <c r="C2" s="204"/>
      <c r="D2" s="204"/>
      <c r="E2" s="204"/>
      <c r="F2" s="204"/>
      <c r="G2" s="204"/>
      <c r="H2" s="204"/>
      <c r="I2" s="204"/>
      <c r="J2" s="204"/>
      <c r="K2" s="204"/>
      <c r="L2" s="204"/>
      <c r="M2" s="204"/>
      <c r="N2" s="204"/>
      <c r="O2" s="204"/>
      <c r="P2" s="204"/>
      <c r="Q2" s="204"/>
      <c r="R2" s="192"/>
      <c r="S2" s="192"/>
      <c r="T2" s="192"/>
      <c r="U2" s="192"/>
      <c r="V2" s="192"/>
      <c r="W2" s="192"/>
      <c r="X2" s="192"/>
      <c r="Y2" s="193"/>
      <c r="Z2" s="193"/>
      <c r="AA2" s="193"/>
    </row>
    <row r="3" spans="1:48" ht="16" customHeight="1" x14ac:dyDescent="0.35">
      <c r="A3" s="301" t="str">
        <f ca="1">'Translation Table'!H273</f>
        <v>Company Name:</v>
      </c>
      <c r="B3" s="302"/>
      <c r="C3" s="302"/>
      <c r="D3" s="302"/>
      <c r="E3" s="303"/>
      <c r="F3" s="304">
        <f>'Setup - IPCC Assessment'!E4</f>
        <v>0</v>
      </c>
      <c r="G3" s="305"/>
      <c r="H3" s="305"/>
      <c r="I3" s="305"/>
      <c r="J3" s="306"/>
      <c r="K3" s="204"/>
      <c r="L3" s="204"/>
      <c r="M3" s="204"/>
      <c r="N3" s="204"/>
      <c r="O3" s="204"/>
      <c r="P3" s="204"/>
      <c r="Q3" s="204"/>
      <c r="R3" s="192"/>
      <c r="S3" s="192"/>
      <c r="T3" s="192"/>
      <c r="U3" s="192"/>
      <c r="V3" s="192"/>
      <c r="W3" s="192"/>
      <c r="X3" s="192"/>
      <c r="Y3" s="193"/>
      <c r="Z3" s="193"/>
      <c r="AA3" s="193"/>
    </row>
    <row r="4" spans="1:48" ht="16" customHeight="1" x14ac:dyDescent="0.35">
      <c r="A4" s="301" t="str">
        <f ca="1">'Translation Table'!H274</f>
        <v>Asset ID:</v>
      </c>
      <c r="B4" s="302"/>
      <c r="C4" s="302"/>
      <c r="D4" s="302"/>
      <c r="E4" s="303"/>
      <c r="F4" s="304">
        <f>'Setup - IPCC Assessment'!E5</f>
        <v>0</v>
      </c>
      <c r="G4" s="305"/>
      <c r="H4" s="305"/>
      <c r="I4" s="305"/>
      <c r="J4" s="306"/>
      <c r="K4" s="204"/>
      <c r="L4" s="204"/>
      <c r="M4" s="204"/>
      <c r="N4" s="204"/>
      <c r="O4" s="204"/>
      <c r="P4" s="204"/>
      <c r="Q4" s="204"/>
      <c r="R4" s="192"/>
      <c r="S4" s="192"/>
      <c r="T4" s="192"/>
      <c r="U4" s="192"/>
      <c r="V4" s="192"/>
      <c r="W4" s="192"/>
      <c r="X4" s="192"/>
      <c r="Y4" s="193"/>
      <c r="Z4" s="193"/>
      <c r="AA4" s="193"/>
    </row>
    <row r="5" spans="1:48" ht="16" customHeight="1" x14ac:dyDescent="0.35">
      <c r="A5" s="301" t="str">
        <f ca="1">'Translation Table'!H275</f>
        <v>Country:</v>
      </c>
      <c r="B5" s="302"/>
      <c r="C5" s="302"/>
      <c r="D5" s="302"/>
      <c r="E5" s="303"/>
      <c r="F5" s="304">
        <f>'Setup - IPCC Assessment'!E6</f>
        <v>0</v>
      </c>
      <c r="G5" s="305"/>
      <c r="H5" s="305"/>
      <c r="I5" s="305"/>
      <c r="J5" s="306"/>
      <c r="K5" s="204"/>
      <c r="L5" s="204"/>
      <c r="M5" s="204"/>
      <c r="N5" s="204"/>
      <c r="O5" s="204"/>
      <c r="P5" s="204"/>
      <c r="Q5" s="204"/>
      <c r="R5" s="192"/>
      <c r="S5" s="192"/>
      <c r="T5" s="192"/>
      <c r="U5" s="192"/>
      <c r="V5" s="192"/>
      <c r="W5" s="192"/>
      <c r="X5" s="192"/>
      <c r="Y5" s="193"/>
      <c r="Z5" s="193"/>
      <c r="AA5" s="193"/>
    </row>
    <row r="6" spans="1:48" ht="16" customHeight="1" x14ac:dyDescent="0.35">
      <c r="A6" s="301" t="str">
        <f ca="1">'Translation Table'!H276</f>
        <v>Reference Year:</v>
      </c>
      <c r="B6" s="302"/>
      <c r="C6" s="302"/>
      <c r="D6" s="302"/>
      <c r="E6" s="303"/>
      <c r="F6" s="304">
        <f>'Setup - IPCC Assessment'!E7</f>
        <v>0</v>
      </c>
      <c r="G6" s="305"/>
      <c r="H6" s="305"/>
      <c r="I6" s="305"/>
      <c r="J6" s="306"/>
      <c r="K6" s="204"/>
      <c r="L6" s="204"/>
      <c r="M6" s="204"/>
      <c r="N6" s="204"/>
      <c r="O6" s="204"/>
      <c r="P6" s="204"/>
      <c r="Q6" s="204"/>
      <c r="R6" s="192"/>
      <c r="S6" s="192"/>
      <c r="T6" s="192"/>
      <c r="U6" s="192"/>
      <c r="V6" s="192"/>
      <c r="W6" s="192"/>
      <c r="X6" s="192"/>
      <c r="Y6" s="193"/>
      <c r="Z6" s="193"/>
      <c r="AA6" s="193"/>
    </row>
    <row r="7" spans="1:48" ht="9" customHeight="1" x14ac:dyDescent="0.35">
      <c r="AM7" s="207" t="str">
        <f ca="1">'Results (Tabular)'!C8</f>
        <v>CH4</v>
      </c>
      <c r="AN7" s="207" t="str">
        <f ca="1">'Results (Tabular)'!D8</f>
        <v>CO2</v>
      </c>
      <c r="AO7" s="207" t="str">
        <f ca="1">'Results (Tabular)'!E8</f>
        <v>N2O</v>
      </c>
      <c r="AP7" s="207" t="str">
        <f ca="1">'Results (Tabular)'!F8</f>
        <v>CO2E</v>
      </c>
      <c r="AQ7" s="207" t="str">
        <f ca="1">'Results (Tabular)'!G8</f>
        <v>NOx</v>
      </c>
      <c r="AR7" s="207" t="str">
        <f ca="1">'Results (Tabular)'!H8</f>
        <v>CO</v>
      </c>
      <c r="AS7" s="207" t="str">
        <f ca="1">'Results (Tabular)'!I8</f>
        <v>NMVOC</v>
      </c>
      <c r="AT7" s="207" t="str">
        <f ca="1">'Results (Tabular)'!J8</f>
        <v>SO2</v>
      </c>
      <c r="AU7" s="207">
        <v>1</v>
      </c>
    </row>
    <row r="8" spans="1:48" ht="27.75" customHeight="1" x14ac:dyDescent="0.35">
      <c r="A8" s="298" t="str">
        <f ca="1">AM7</f>
        <v>CH4</v>
      </c>
      <c r="B8" s="298"/>
      <c r="C8" s="298" t="str">
        <f ca="1">AN7</f>
        <v>CO2</v>
      </c>
      <c r="D8" s="298"/>
      <c r="E8" s="298" t="str">
        <f ca="1">AO7</f>
        <v>N2O</v>
      </c>
      <c r="F8" s="298"/>
      <c r="G8" s="298" t="str">
        <f ca="1">AP7</f>
        <v>CO2E</v>
      </c>
      <c r="H8" s="298"/>
      <c r="I8" s="298" t="str">
        <f ca="1">AQ7</f>
        <v>NOx</v>
      </c>
      <c r="J8" s="298"/>
      <c r="K8" s="298" t="str">
        <f ca="1">AR7</f>
        <v>CO</v>
      </c>
      <c r="L8" s="298"/>
      <c r="M8" s="298" t="str">
        <f ca="1">AS7</f>
        <v>NMVOC</v>
      </c>
      <c r="N8" s="298"/>
      <c r="O8" s="298" t="str">
        <f ca="1">AT7</f>
        <v>SO2</v>
      </c>
      <c r="P8" s="298"/>
      <c r="AL8" s="208" t="str">
        <f ca="1">'Results (Tabular)'!B8</f>
        <v xml:space="preserve">Industry Segment </v>
      </c>
      <c r="AM8" s="208" t="str">
        <f ca="1">_xlfn.CONCAT('Translation Table'!H39," - ",'Results (Tabular)'!C8)</f>
        <v>Total Emissions - CH4</v>
      </c>
      <c r="AN8" s="208" t="str">
        <f ca="1">_xlfn.CONCAT('Translation Table'!H39," - ",'Results (Tabular)'!D8)</f>
        <v>Total Emissions - CO2</v>
      </c>
      <c r="AO8" s="208" t="str">
        <f ca="1">_xlfn.CONCAT('Translation Table'!H39," - ",'Results (Tabular)'!E8)</f>
        <v>Total Emissions - N2O</v>
      </c>
      <c r="AP8" s="208" t="str">
        <f ca="1">_xlfn.CONCAT('Translation Table'!H39," - ",'Results (Tabular)'!F8)</f>
        <v>Total Emissions - CO2E</v>
      </c>
      <c r="AQ8" s="208" t="str">
        <f ca="1">_xlfn.CONCAT('Translation Table'!H39," - ",'Results (Tabular)'!G8)</f>
        <v>Total Emissions - NOx</v>
      </c>
      <c r="AR8" s="208" t="str">
        <f ca="1">_xlfn.CONCAT('Translation Table'!H39," - ",'Results (Tabular)'!H8)</f>
        <v>Total Emissions - CO</v>
      </c>
      <c r="AS8" s="208" t="str">
        <f ca="1">_xlfn.CONCAT('Translation Table'!H39," - ",'Results (Tabular)'!I8)</f>
        <v>Total Emissions - NMVOC</v>
      </c>
      <c r="AT8" s="208" t="str">
        <f ca="1">_xlfn.CONCAT('Translation Table'!H39," - ",'Results (Tabular)'!J8)</f>
        <v>Total Emissions - SO2</v>
      </c>
      <c r="AU8" s="207" t="str" cm="1">
        <f t="array" aca="1" ref="AU8" ca="1">INDEX($AM$8:$AT$25,1,$AU$7)</f>
        <v>Total Emissions - CH4</v>
      </c>
    </row>
    <row r="9" spans="1:48" ht="24" customHeight="1" x14ac:dyDescent="0.35">
      <c r="A9" s="297">
        <f ca="1">AM26</f>
        <v>2.0352723115742761</v>
      </c>
      <c r="B9" s="297"/>
      <c r="C9" s="297">
        <f ca="1">AN26</f>
        <v>50271.226095884624</v>
      </c>
      <c r="D9" s="297"/>
      <c r="E9" s="297">
        <f ca="1">AO26</f>
        <v>0.4070544623148552</v>
      </c>
      <c r="F9" s="297"/>
      <c r="G9" s="297">
        <f ca="1">AP26</f>
        <v>50436.083153122141</v>
      </c>
      <c r="H9" s="297"/>
      <c r="I9" s="297">
        <f ca="1">AQ26</f>
        <v>0</v>
      </c>
      <c r="J9" s="297"/>
      <c r="K9" s="297">
        <f ca="1">AR26</f>
        <v>0</v>
      </c>
      <c r="L9" s="297"/>
      <c r="M9" s="297">
        <f ca="1">AS26</f>
        <v>0</v>
      </c>
      <c r="N9" s="297"/>
      <c r="O9" s="297">
        <f ca="1">AT26</f>
        <v>14.837186356475909</v>
      </c>
      <c r="P9" s="297"/>
      <c r="AL9" s="208" t="str">
        <f ca="1">'Results (Tabular)'!B11</f>
        <v>Petroleum Refining</v>
      </c>
      <c r="AM9" s="208">
        <f ca="1">'Results (Tabular)'!C11</f>
        <v>2.0340720000000001</v>
      </c>
      <c r="AN9" s="208">
        <f ca="1">'Results (Tabular)'!D11</f>
        <v>50241.578399999999</v>
      </c>
      <c r="AO9" s="208">
        <f ca="1">'Results (Tabular)'!E11</f>
        <v>0.40681439999999996</v>
      </c>
      <c r="AP9" s="208">
        <f ca="1">'Results (Tabular)'!F11</f>
        <v>50406.338232000002</v>
      </c>
      <c r="AQ9" s="208">
        <f ca="1">'Results (Tabular)'!G11</f>
        <v>0</v>
      </c>
      <c r="AR9" s="208">
        <f ca="1">'Results (Tabular)'!H11</f>
        <v>0</v>
      </c>
      <c r="AS9" s="208">
        <f ca="1">'Results (Tabular)'!I11</f>
        <v>0</v>
      </c>
      <c r="AT9" s="208">
        <f ca="1">'Results (Tabular)'!J11</f>
        <v>14.828436054900983</v>
      </c>
      <c r="AU9" s="207" cm="1">
        <f t="array" aca="1" ref="AU9" ca="1">INDEX($AM$8:$AT$25,2,$AU$7)</f>
        <v>2.0340720000000001</v>
      </c>
    </row>
    <row r="10" spans="1:48" s="205" customFormat="1" ht="16.5" customHeight="1" x14ac:dyDescent="0.35">
      <c r="A10" s="299" t="str">
        <f ca="1">'Translation Table'!H41</f>
        <v>(tonnes)</v>
      </c>
      <c r="B10" s="299"/>
      <c r="C10" s="299" t="str">
        <f ca="1">'Translation Table'!H41</f>
        <v>(tonnes)</v>
      </c>
      <c r="D10" s="299"/>
      <c r="E10" s="299" t="str">
        <f ca="1">'Translation Table'!H41</f>
        <v>(tonnes)</v>
      </c>
      <c r="F10" s="299"/>
      <c r="G10" s="299" t="str">
        <f ca="1">'Translation Table'!H41</f>
        <v>(tonnes)</v>
      </c>
      <c r="H10" s="299"/>
      <c r="I10" s="299" t="str">
        <f ca="1">'Translation Table'!H41</f>
        <v>(tonnes)</v>
      </c>
      <c r="J10" s="299"/>
      <c r="K10" s="299" t="str">
        <f ca="1">'Translation Table'!H41</f>
        <v>(tonnes)</v>
      </c>
      <c r="L10" s="299"/>
      <c r="M10" s="299" t="str">
        <f ca="1">'Translation Table'!H41</f>
        <v>(tonnes)</v>
      </c>
      <c r="N10" s="299"/>
      <c r="O10" s="299" t="str">
        <f ca="1">'Translation Table'!H41</f>
        <v>(tonnes)</v>
      </c>
      <c r="P10" s="299"/>
      <c r="AG10" s="206"/>
      <c r="AH10" s="206"/>
      <c r="AI10" s="206"/>
      <c r="AJ10" s="206"/>
      <c r="AK10" s="206"/>
      <c r="AL10" s="209" t="str">
        <f ca="1">'Results (Tabular)'!B12</f>
        <v>Manufacture of solid fuels and other energy industries</v>
      </c>
      <c r="AM10" s="209">
        <f ca="1">'Results (Tabular)'!C12</f>
        <v>1.2003115742762389E-3</v>
      </c>
      <c r="AN10" s="209">
        <f ca="1">'Results (Tabular)'!D12</f>
        <v>29.647695884623101</v>
      </c>
      <c r="AO10" s="209">
        <f ca="1">'Results (Tabular)'!E12</f>
        <v>2.4006231485524776E-4</v>
      </c>
      <c r="AP10" s="209">
        <f ca="1">'Results (Tabular)'!F12</f>
        <v>29.744921122139477</v>
      </c>
      <c r="AQ10" s="209">
        <f ca="1">'Results (Tabular)'!G12</f>
        <v>0</v>
      </c>
      <c r="AR10" s="209">
        <f ca="1">'Results (Tabular)'!H12</f>
        <v>0</v>
      </c>
      <c r="AS10" s="209">
        <f ca="1">'Results (Tabular)'!I12</f>
        <v>0</v>
      </c>
      <c r="AT10" s="209">
        <f ca="1">'Results (Tabular)'!J12</f>
        <v>8.7503015749259318E-3</v>
      </c>
      <c r="AU10" s="210" cm="1">
        <f t="array" aca="1" ref="AU10" ca="1">INDEX($AM$8:$AT$25,3,$AU$7)</f>
        <v>1.2003115742762389E-3</v>
      </c>
      <c r="AV10" s="206"/>
    </row>
    <row r="11" spans="1:48" x14ac:dyDescent="0.35">
      <c r="AL11" s="208" t="str">
        <f ca="1">'Results (Tabular)'!B15</f>
        <v>Exploration</v>
      </c>
      <c r="AM11" s="208">
        <f ca="1">'Results (Tabular)'!C15</f>
        <v>0</v>
      </c>
      <c r="AN11" s="208">
        <f ca="1">'Results (Tabular)'!D15</f>
        <v>0</v>
      </c>
      <c r="AO11" s="208">
        <f ca="1">'Results (Tabular)'!E15</f>
        <v>0</v>
      </c>
      <c r="AP11" s="208">
        <f ca="1">'Results (Tabular)'!F15</f>
        <v>0</v>
      </c>
      <c r="AQ11" s="208">
        <f ca="1">'Results (Tabular)'!G15</f>
        <v>0</v>
      </c>
      <c r="AR11" s="208">
        <f ca="1">'Results (Tabular)'!H15</f>
        <v>0</v>
      </c>
      <c r="AS11" s="208">
        <f ca="1">'Results (Tabular)'!I15</f>
        <v>0</v>
      </c>
      <c r="AT11" s="208">
        <f ca="1">'Results (Tabular)'!J15</f>
        <v>0</v>
      </c>
      <c r="AU11" s="207" cm="1">
        <f t="array" aca="1" ref="AU11" ca="1">INDEX($AM$8:$AT$25,4,$AU$7)</f>
        <v>0</v>
      </c>
    </row>
    <row r="12" spans="1:48" x14ac:dyDescent="0.35">
      <c r="AL12" s="208" t="str">
        <f ca="1">'Results (Tabular)'!B16</f>
        <v>Production and Upgrading</v>
      </c>
      <c r="AM12" s="208">
        <f ca="1">'Results (Tabular)'!C16</f>
        <v>0</v>
      </c>
      <c r="AN12" s="208">
        <f ca="1">'Results (Tabular)'!D16</f>
        <v>0</v>
      </c>
      <c r="AO12" s="208">
        <f ca="1">'Results (Tabular)'!E16</f>
        <v>0</v>
      </c>
      <c r="AP12" s="208">
        <f ca="1">'Results (Tabular)'!F16</f>
        <v>0</v>
      </c>
      <c r="AQ12" s="208">
        <f ca="1">'Results (Tabular)'!G16</f>
        <v>0</v>
      </c>
      <c r="AR12" s="208">
        <f ca="1">'Results (Tabular)'!H16</f>
        <v>0</v>
      </c>
      <c r="AS12" s="208">
        <f ca="1">'Results (Tabular)'!I16</f>
        <v>0</v>
      </c>
      <c r="AT12" s="208">
        <f ca="1">'Results (Tabular)'!J16</f>
        <v>0</v>
      </c>
      <c r="AU12" s="207" cm="1">
        <f t="array" aca="1" ref="AU12" ca="1">INDEX($AM$8:$AT$25,5,$AU$7)</f>
        <v>0</v>
      </c>
    </row>
    <row r="13" spans="1:48" x14ac:dyDescent="0.35">
      <c r="AL13" s="208" t="str">
        <f ca="1">'Results (Tabular)'!B17</f>
        <v>Transport</v>
      </c>
      <c r="AM13" s="208">
        <f ca="1">'Results (Tabular)'!C17</f>
        <v>0</v>
      </c>
      <c r="AN13" s="208">
        <f ca="1">'Results (Tabular)'!D17</f>
        <v>0</v>
      </c>
      <c r="AO13" s="208">
        <f ca="1">'Results (Tabular)'!E17</f>
        <v>0</v>
      </c>
      <c r="AP13" s="208">
        <f ca="1">'Results (Tabular)'!F17</f>
        <v>0</v>
      </c>
      <c r="AQ13" s="208">
        <f ca="1">'Results (Tabular)'!G17</f>
        <v>0</v>
      </c>
      <c r="AR13" s="208">
        <f ca="1">'Results (Tabular)'!H17</f>
        <v>0</v>
      </c>
      <c r="AS13" s="208">
        <f ca="1">'Results (Tabular)'!I17</f>
        <v>0</v>
      </c>
      <c r="AT13" s="208">
        <f ca="1">'Results (Tabular)'!J17</f>
        <v>0</v>
      </c>
      <c r="AU13" s="207" cm="1">
        <f t="array" aca="1" ref="AU13" ca="1">INDEX($AM$8:$AT$25,6,$AU$7)</f>
        <v>0</v>
      </c>
    </row>
    <row r="14" spans="1:48" x14ac:dyDescent="0.35">
      <c r="AL14" s="208" t="str">
        <f ca="1">'Results (Tabular)'!B18</f>
        <v>Refining</v>
      </c>
      <c r="AM14" s="208">
        <f ca="1">'Results (Tabular)'!C18</f>
        <v>0</v>
      </c>
      <c r="AN14" s="208">
        <f ca="1">'Results (Tabular)'!D18</f>
        <v>0</v>
      </c>
      <c r="AO14" s="208">
        <f ca="1">'Results (Tabular)'!E18</f>
        <v>0</v>
      </c>
      <c r="AP14" s="208">
        <f ca="1">'Results (Tabular)'!F18</f>
        <v>0</v>
      </c>
      <c r="AQ14" s="208">
        <f ca="1">'Results (Tabular)'!G18</f>
        <v>0</v>
      </c>
      <c r="AR14" s="208">
        <f ca="1">'Results (Tabular)'!H18</f>
        <v>0</v>
      </c>
      <c r="AS14" s="208">
        <f ca="1">'Results (Tabular)'!I18</f>
        <v>0</v>
      </c>
      <c r="AT14" s="208">
        <f ca="1">'Results (Tabular)'!J18</f>
        <v>0</v>
      </c>
      <c r="AU14" s="207" cm="1">
        <f t="array" aca="1" ref="AU14" ca="1">INDEX($AM$8:$AT$25,7,$AU$7)</f>
        <v>0</v>
      </c>
    </row>
    <row r="15" spans="1:48" x14ac:dyDescent="0.35">
      <c r="AL15" s="208" t="str">
        <f ca="1">'Results (Tabular)'!B19</f>
        <v>Distribution of Oil Products</v>
      </c>
      <c r="AM15" s="208">
        <f ca="1">'Results (Tabular)'!C19</f>
        <v>0</v>
      </c>
      <c r="AN15" s="208">
        <f ca="1">'Results (Tabular)'!D19</f>
        <v>0</v>
      </c>
      <c r="AO15" s="208">
        <f ca="1">'Results (Tabular)'!E19</f>
        <v>0</v>
      </c>
      <c r="AP15" s="208">
        <f ca="1">'Results (Tabular)'!F19</f>
        <v>0</v>
      </c>
      <c r="AQ15" s="208">
        <f ca="1">'Results (Tabular)'!G19</f>
        <v>0</v>
      </c>
      <c r="AR15" s="208">
        <f ca="1">'Results (Tabular)'!H19</f>
        <v>0</v>
      </c>
      <c r="AS15" s="208">
        <f ca="1">'Results (Tabular)'!I19</f>
        <v>0</v>
      </c>
      <c r="AT15" s="208">
        <f ca="1">'Results (Tabular)'!J19</f>
        <v>0</v>
      </c>
      <c r="AU15" s="207" cm="1">
        <f t="array" aca="1" ref="AU15" ca="1">INDEX($AM$8:$AT$25,8,$AU$7)</f>
        <v>0</v>
      </c>
    </row>
    <row r="16" spans="1:48" x14ac:dyDescent="0.35">
      <c r="AL16" s="208" t="str">
        <f ca="1">'Results (Tabular)'!B20</f>
        <v>Other</v>
      </c>
      <c r="AM16" s="208">
        <f ca="1">'Results (Tabular)'!C20</f>
        <v>0</v>
      </c>
      <c r="AN16" s="208">
        <f ca="1">'Results (Tabular)'!D20</f>
        <v>0</v>
      </c>
      <c r="AO16" s="208">
        <f ca="1">'Results (Tabular)'!E20</f>
        <v>0</v>
      </c>
      <c r="AP16" s="208">
        <f ca="1">'Results (Tabular)'!F20</f>
        <v>0</v>
      </c>
      <c r="AQ16" s="208">
        <f ca="1">'Results (Tabular)'!G20</f>
        <v>0</v>
      </c>
      <c r="AR16" s="208">
        <f ca="1">'Results (Tabular)'!H20</f>
        <v>0</v>
      </c>
      <c r="AS16" s="208">
        <f ca="1">'Results (Tabular)'!I20</f>
        <v>0</v>
      </c>
      <c r="AT16" s="208">
        <f ca="1">'Results (Tabular)'!J20</f>
        <v>0</v>
      </c>
      <c r="AU16" s="207" cm="1">
        <f t="array" aca="1" ref="AU16" ca="1">INDEX($AM$8:$AT$25,9,$AU$7)</f>
        <v>0</v>
      </c>
    </row>
    <row r="17" spans="38:47" x14ac:dyDescent="0.35">
      <c r="AL17" s="208" t="str">
        <f ca="1">'Results (Tabular)'!B21</f>
        <v>Abandoned Oil Wells</v>
      </c>
      <c r="AM17" s="208">
        <f ca="1">'Results (Tabular)'!C21</f>
        <v>0</v>
      </c>
      <c r="AN17" s="208">
        <f ca="1">'Results (Tabular)'!D21</f>
        <v>0</v>
      </c>
      <c r="AO17" s="208">
        <f ca="1">'Results (Tabular)'!E21</f>
        <v>0</v>
      </c>
      <c r="AP17" s="208">
        <f ca="1">'Results (Tabular)'!F21</f>
        <v>0</v>
      </c>
      <c r="AQ17" s="208">
        <f ca="1">'Results (Tabular)'!G21</f>
        <v>0</v>
      </c>
      <c r="AR17" s="208">
        <f ca="1">'Results (Tabular)'!H21</f>
        <v>0</v>
      </c>
      <c r="AS17" s="208">
        <f ca="1">'Results (Tabular)'!I21</f>
        <v>0</v>
      </c>
      <c r="AT17" s="208">
        <f ca="1">'Results (Tabular)'!J21</f>
        <v>0</v>
      </c>
      <c r="AU17" s="207" cm="1">
        <f t="array" aca="1" ref="AU17" ca="1">INDEX($AM$8:$AT$25,10,$AU$7)</f>
        <v>0</v>
      </c>
    </row>
    <row r="18" spans="38:47" x14ac:dyDescent="0.35">
      <c r="AL18" s="208" t="str">
        <f ca="1">'Results (Tabular)'!B23</f>
        <v>Exploration</v>
      </c>
      <c r="AM18" s="208">
        <f ca="1">'Results (Tabular)'!C23</f>
        <v>0</v>
      </c>
      <c r="AN18" s="208">
        <f ca="1">'Results (Tabular)'!D23</f>
        <v>0</v>
      </c>
      <c r="AO18" s="208">
        <f ca="1">'Results (Tabular)'!E23</f>
        <v>0</v>
      </c>
      <c r="AP18" s="208">
        <f ca="1">'Results (Tabular)'!F23</f>
        <v>0</v>
      </c>
      <c r="AQ18" s="208">
        <f ca="1">'Results (Tabular)'!G23</f>
        <v>0</v>
      </c>
      <c r="AR18" s="208">
        <f ca="1">'Results (Tabular)'!H23</f>
        <v>0</v>
      </c>
      <c r="AS18" s="208">
        <f ca="1">'Results (Tabular)'!I23</f>
        <v>0</v>
      </c>
      <c r="AT18" s="208">
        <f ca="1">'Results (Tabular)'!J23</f>
        <v>0</v>
      </c>
      <c r="AU18" s="207" cm="1">
        <f t="array" aca="1" ref="AU18" ca="1">INDEX($AM$8:$AT$25,11,$AU$7)</f>
        <v>0</v>
      </c>
    </row>
    <row r="19" spans="38:47" x14ac:dyDescent="0.35">
      <c r="AL19" s="208" t="str">
        <f ca="1">'Results (Tabular)'!B24</f>
        <v>Production and Gathering</v>
      </c>
      <c r="AM19" s="208">
        <f ca="1">'Results (Tabular)'!C24</f>
        <v>0</v>
      </c>
      <c r="AN19" s="208">
        <f ca="1">'Results (Tabular)'!D24</f>
        <v>0</v>
      </c>
      <c r="AO19" s="208">
        <f ca="1">'Results (Tabular)'!E24</f>
        <v>0</v>
      </c>
      <c r="AP19" s="208">
        <f ca="1">'Results (Tabular)'!F24</f>
        <v>0</v>
      </c>
      <c r="AQ19" s="208">
        <f ca="1">'Results (Tabular)'!G24</f>
        <v>0</v>
      </c>
      <c r="AR19" s="208">
        <f ca="1">'Results (Tabular)'!H24</f>
        <v>0</v>
      </c>
      <c r="AS19" s="208">
        <f ca="1">'Results (Tabular)'!I24</f>
        <v>0</v>
      </c>
      <c r="AT19" s="208">
        <f ca="1">'Results (Tabular)'!J24</f>
        <v>0</v>
      </c>
      <c r="AU19" s="207" cm="1">
        <f t="array" aca="1" ref="AU19" ca="1">INDEX($AM$8:$AT$25,12,$AU$7)</f>
        <v>0</v>
      </c>
    </row>
    <row r="20" spans="38:47" x14ac:dyDescent="0.35">
      <c r="AL20" s="208" t="str">
        <f ca="1">'Results (Tabular)'!B25</f>
        <v>Processing</v>
      </c>
      <c r="AM20" s="208">
        <f ca="1">'Results (Tabular)'!C25</f>
        <v>0</v>
      </c>
      <c r="AN20" s="208">
        <f ca="1">'Results (Tabular)'!D25</f>
        <v>0</v>
      </c>
      <c r="AO20" s="208">
        <f ca="1">'Results (Tabular)'!E25</f>
        <v>0</v>
      </c>
      <c r="AP20" s="208">
        <f ca="1">'Results (Tabular)'!F25</f>
        <v>0</v>
      </c>
      <c r="AQ20" s="208">
        <f ca="1">'Results (Tabular)'!G25</f>
        <v>0</v>
      </c>
      <c r="AR20" s="208">
        <f ca="1">'Results (Tabular)'!H25</f>
        <v>0</v>
      </c>
      <c r="AS20" s="208">
        <f ca="1">'Results (Tabular)'!I25</f>
        <v>0</v>
      </c>
      <c r="AT20" s="208">
        <f ca="1">'Results (Tabular)'!J25</f>
        <v>0</v>
      </c>
      <c r="AU20" s="207" cm="1">
        <f t="array" aca="1" ref="AU20" ca="1">INDEX($AM$8:$AT$25,13,$AU$7)</f>
        <v>0</v>
      </c>
    </row>
    <row r="21" spans="38:47" x14ac:dyDescent="0.35">
      <c r="AL21" s="208" t="str">
        <f ca="1">'Results (Tabular)'!B26</f>
        <v>Transmission and Storage</v>
      </c>
      <c r="AM21" s="208">
        <f ca="1">'Results (Tabular)'!C26</f>
        <v>0</v>
      </c>
      <c r="AN21" s="208">
        <f ca="1">'Results (Tabular)'!D26</f>
        <v>0</v>
      </c>
      <c r="AO21" s="208">
        <f ca="1">'Results (Tabular)'!E26</f>
        <v>0</v>
      </c>
      <c r="AP21" s="208">
        <f ca="1">'Results (Tabular)'!F26</f>
        <v>0</v>
      </c>
      <c r="AQ21" s="208">
        <f ca="1">'Results (Tabular)'!G26</f>
        <v>0</v>
      </c>
      <c r="AR21" s="208">
        <f ca="1">'Results (Tabular)'!H26</f>
        <v>0</v>
      </c>
      <c r="AS21" s="208">
        <f ca="1">'Results (Tabular)'!I26</f>
        <v>0</v>
      </c>
      <c r="AT21" s="208">
        <f ca="1">'Results (Tabular)'!J26</f>
        <v>0</v>
      </c>
      <c r="AU21" s="207" cm="1">
        <f t="array" aca="1" ref="AU21" ca="1">INDEX($AM$8:$AT$25,14,$AU$7)</f>
        <v>0</v>
      </c>
    </row>
    <row r="22" spans="38:47" x14ac:dyDescent="0.35">
      <c r="AL22" s="208" t="str">
        <f ca="1">'Results (Tabular)'!B27</f>
        <v>Distribution</v>
      </c>
      <c r="AM22" s="208">
        <f ca="1">'Results (Tabular)'!C27</f>
        <v>0</v>
      </c>
      <c r="AN22" s="208">
        <f ca="1">'Results (Tabular)'!D27</f>
        <v>0</v>
      </c>
      <c r="AO22" s="208">
        <f ca="1">'Results (Tabular)'!E27</f>
        <v>0</v>
      </c>
      <c r="AP22" s="208">
        <f ca="1">'Results (Tabular)'!F27</f>
        <v>0</v>
      </c>
      <c r="AQ22" s="208">
        <f ca="1">'Results (Tabular)'!G27</f>
        <v>0</v>
      </c>
      <c r="AR22" s="208">
        <f ca="1">'Results (Tabular)'!H27</f>
        <v>0</v>
      </c>
      <c r="AS22" s="208">
        <f ca="1">'Results (Tabular)'!I27</f>
        <v>0</v>
      </c>
      <c r="AT22" s="208">
        <f ca="1">'Results (Tabular)'!J27</f>
        <v>0</v>
      </c>
      <c r="AU22" s="207" cm="1">
        <f t="array" aca="1" ref="AU22" ca="1">INDEX($AM$8:$AT$25,15,$AU$7)</f>
        <v>0</v>
      </c>
    </row>
    <row r="23" spans="38:47" x14ac:dyDescent="0.35">
      <c r="AL23" s="208" t="str">
        <f ca="1">'Results (Tabular)'!B28</f>
        <v>Post-Meter</v>
      </c>
      <c r="AM23" s="208">
        <f ca="1">'Results (Tabular)'!C28</f>
        <v>0</v>
      </c>
      <c r="AN23" s="208">
        <f ca="1">'Results (Tabular)'!D28</f>
        <v>0</v>
      </c>
      <c r="AO23" s="208">
        <f ca="1">'Results (Tabular)'!E28</f>
        <v>0</v>
      </c>
      <c r="AP23" s="208">
        <f ca="1">'Results (Tabular)'!F28</f>
        <v>0</v>
      </c>
      <c r="AQ23" s="208">
        <f ca="1">'Results (Tabular)'!G28</f>
        <v>0</v>
      </c>
      <c r="AR23" s="208">
        <f ca="1">'Results (Tabular)'!H28</f>
        <v>0</v>
      </c>
      <c r="AS23" s="208">
        <f ca="1">'Results (Tabular)'!I28</f>
        <v>0</v>
      </c>
      <c r="AT23" s="208">
        <f ca="1">'Results (Tabular)'!J28</f>
        <v>0</v>
      </c>
      <c r="AU23" s="207" cm="1">
        <f t="array" aca="1" ref="AU23" ca="1">INDEX($AM$8:$AT$25,16,$AU$7)</f>
        <v>0</v>
      </c>
    </row>
    <row r="24" spans="38:47" x14ac:dyDescent="0.35">
      <c r="AL24" s="208" t="str">
        <f ca="1">'Results (Tabular)'!B29</f>
        <v>Other</v>
      </c>
      <c r="AM24" s="208">
        <f ca="1">'Results (Tabular)'!C29</f>
        <v>0</v>
      </c>
      <c r="AN24" s="208">
        <f ca="1">'Results (Tabular)'!D29</f>
        <v>0</v>
      </c>
      <c r="AO24" s="208">
        <f ca="1">'Results (Tabular)'!E29</f>
        <v>0</v>
      </c>
      <c r="AP24" s="208">
        <f ca="1">'Results (Tabular)'!F29</f>
        <v>0</v>
      </c>
      <c r="AQ24" s="208">
        <f ca="1">'Results (Tabular)'!G29</f>
        <v>0</v>
      </c>
      <c r="AR24" s="208">
        <f ca="1">'Results (Tabular)'!H29</f>
        <v>0</v>
      </c>
      <c r="AS24" s="208">
        <f ca="1">'Results (Tabular)'!I29</f>
        <v>0</v>
      </c>
      <c r="AT24" s="208">
        <f ca="1">'Results (Tabular)'!J29</f>
        <v>0</v>
      </c>
      <c r="AU24" s="207" cm="1">
        <f t="array" aca="1" ref="AU24" ca="1">INDEX($AM$8:$AT$25,17,$AU$7)</f>
        <v>0</v>
      </c>
    </row>
    <row r="25" spans="38:47" x14ac:dyDescent="0.35">
      <c r="AL25" s="208" t="str">
        <f ca="1">'Results (Tabular)'!B30</f>
        <v>Abandoned Gas Wells</v>
      </c>
      <c r="AM25" s="208">
        <f ca="1">'Results (Tabular)'!C30</f>
        <v>0</v>
      </c>
      <c r="AN25" s="208">
        <f ca="1">'Results (Tabular)'!D30</f>
        <v>0</v>
      </c>
      <c r="AO25" s="208">
        <f ca="1">'Results (Tabular)'!E30</f>
        <v>0</v>
      </c>
      <c r="AP25" s="208">
        <f ca="1">'Results (Tabular)'!F30</f>
        <v>0</v>
      </c>
      <c r="AQ25" s="208">
        <f ca="1">'Results (Tabular)'!G30</f>
        <v>0</v>
      </c>
      <c r="AR25" s="208">
        <f ca="1">'Results (Tabular)'!H30</f>
        <v>0</v>
      </c>
      <c r="AS25" s="208">
        <f ca="1">'Results (Tabular)'!I30</f>
        <v>0</v>
      </c>
      <c r="AT25" s="208">
        <f ca="1">'Results (Tabular)'!J30</f>
        <v>0</v>
      </c>
      <c r="AU25" s="207" cm="1">
        <f t="array" aca="1" ref="AU25" ca="1">INDEX($AM$8:$AT$25,18,$AU$7)</f>
        <v>0</v>
      </c>
    </row>
    <row r="26" spans="38:47" x14ac:dyDescent="0.35">
      <c r="AM26" s="207">
        <f ca="1">SUM(AM9:AM25)</f>
        <v>2.0352723115742761</v>
      </c>
      <c r="AN26" s="207">
        <f t="shared" ref="AN26:AT26" ca="1" si="0">SUM(AN9:AN25)</f>
        <v>50271.226095884624</v>
      </c>
      <c r="AO26" s="207">
        <f t="shared" ca="1" si="0"/>
        <v>0.4070544623148552</v>
      </c>
      <c r="AP26" s="207">
        <f t="shared" ca="1" si="0"/>
        <v>50436.083153122141</v>
      </c>
      <c r="AQ26" s="207">
        <f t="shared" ca="1" si="0"/>
        <v>0</v>
      </c>
      <c r="AR26" s="207">
        <f t="shared" ca="1" si="0"/>
        <v>0</v>
      </c>
      <c r="AS26" s="207">
        <f t="shared" ca="1" si="0"/>
        <v>0</v>
      </c>
      <c r="AT26" s="207">
        <f t="shared" ca="1" si="0"/>
        <v>14.837186356475909</v>
      </c>
    </row>
  </sheetData>
  <mergeCells count="33">
    <mergeCell ref="A8:B8"/>
    <mergeCell ref="C8:D8"/>
    <mergeCell ref="E8:F8"/>
    <mergeCell ref="G8:H8"/>
    <mergeCell ref="A1:P1"/>
    <mergeCell ref="A3:E3"/>
    <mergeCell ref="A4:E4"/>
    <mergeCell ref="A5:E5"/>
    <mergeCell ref="A6:E6"/>
    <mergeCell ref="F3:J3"/>
    <mergeCell ref="F4:J4"/>
    <mergeCell ref="F5:J5"/>
    <mergeCell ref="F6:J6"/>
    <mergeCell ref="A9:B9"/>
    <mergeCell ref="C9:D9"/>
    <mergeCell ref="E9:F9"/>
    <mergeCell ref="G9:H9"/>
    <mergeCell ref="A10:B10"/>
    <mergeCell ref="C10:D10"/>
    <mergeCell ref="E10:F10"/>
    <mergeCell ref="G10:H10"/>
    <mergeCell ref="O9:P9"/>
    <mergeCell ref="I8:J8"/>
    <mergeCell ref="K10:L10"/>
    <mergeCell ref="M10:N10"/>
    <mergeCell ref="O10:P10"/>
    <mergeCell ref="I10:J10"/>
    <mergeCell ref="I9:J9"/>
    <mergeCell ref="K9:L9"/>
    <mergeCell ref="M9:N9"/>
    <mergeCell ref="K8:L8"/>
    <mergeCell ref="M8:N8"/>
    <mergeCell ref="O8:P8"/>
  </mergeCells>
  <conditionalFormatting sqref="A8:B10">
    <cfRule type="expression" dxfId="9" priority="4">
      <formula>$AU$7=1</formula>
    </cfRule>
  </conditionalFormatting>
  <conditionalFormatting sqref="C8:D10">
    <cfRule type="expression" dxfId="8" priority="5">
      <formula>$AU$7=2</formula>
    </cfRule>
  </conditionalFormatting>
  <conditionalFormatting sqref="E8:F10">
    <cfRule type="expression" dxfId="7" priority="6">
      <formula>$AU$7=3</formula>
    </cfRule>
  </conditionalFormatting>
  <conditionalFormatting sqref="G8:H10">
    <cfRule type="expression" dxfId="6" priority="7">
      <formula>$AU$7=4</formula>
    </cfRule>
  </conditionalFormatting>
  <conditionalFormatting sqref="I8:J10">
    <cfRule type="expression" dxfId="5" priority="8">
      <formula>$AU$7=5</formula>
    </cfRule>
  </conditionalFormatting>
  <conditionalFormatting sqref="K8:L10">
    <cfRule type="expression" dxfId="4" priority="3">
      <formula>$AU$7=6</formula>
    </cfRule>
  </conditionalFormatting>
  <conditionalFormatting sqref="M8:N10">
    <cfRule type="expression" dxfId="3" priority="2">
      <formula>$AU$7=7</formula>
    </cfRule>
  </conditionalFormatting>
  <conditionalFormatting sqref="O8:P10">
    <cfRule type="expression" dxfId="2" priority="1">
      <formula>$AU$7=8</formula>
    </cfRule>
  </conditionalFormatting>
  <pageMargins left="0.7" right="0.7" top="0.75" bottom="0.75" header="0.3" footer="0.3"/>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0</xdr:colOff>
                    <xdr:row>7</xdr:row>
                    <xdr:rowOff>0</xdr:rowOff>
                  </from>
                  <to>
                    <xdr:col>0</xdr:col>
                    <xdr:colOff>374650</xdr:colOff>
                    <xdr:row>7</xdr:row>
                    <xdr:rowOff>323850</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2</xdr:col>
                    <xdr:colOff>0</xdr:colOff>
                    <xdr:row>7</xdr:row>
                    <xdr:rowOff>0</xdr:rowOff>
                  </from>
                  <to>
                    <xdr:col>2</xdr:col>
                    <xdr:colOff>374650</xdr:colOff>
                    <xdr:row>7</xdr:row>
                    <xdr:rowOff>323850</xdr:rowOff>
                  </to>
                </anchor>
              </controlPr>
            </control>
          </mc:Choice>
        </mc:AlternateContent>
        <mc:AlternateContent xmlns:mc="http://schemas.openxmlformats.org/markup-compatibility/2006">
          <mc:Choice Requires="x14">
            <control shapeId="67587" r:id="rId6" name="Option Button 3">
              <controlPr defaultSize="0" autoFill="0" autoLine="0" autoPict="0">
                <anchor moveWithCells="1">
                  <from>
                    <xdr:col>4</xdr:col>
                    <xdr:colOff>0</xdr:colOff>
                    <xdr:row>7</xdr:row>
                    <xdr:rowOff>0</xdr:rowOff>
                  </from>
                  <to>
                    <xdr:col>4</xdr:col>
                    <xdr:colOff>374650</xdr:colOff>
                    <xdr:row>7</xdr:row>
                    <xdr:rowOff>323850</xdr:rowOff>
                  </to>
                </anchor>
              </controlPr>
            </control>
          </mc:Choice>
        </mc:AlternateContent>
        <mc:AlternateContent xmlns:mc="http://schemas.openxmlformats.org/markup-compatibility/2006">
          <mc:Choice Requires="x14">
            <control shapeId="67588" r:id="rId7" name="Option Button 4">
              <controlPr defaultSize="0" autoFill="0" autoLine="0" autoPict="0">
                <anchor moveWithCells="1">
                  <from>
                    <xdr:col>6</xdr:col>
                    <xdr:colOff>0</xdr:colOff>
                    <xdr:row>7</xdr:row>
                    <xdr:rowOff>0</xdr:rowOff>
                  </from>
                  <to>
                    <xdr:col>6</xdr:col>
                    <xdr:colOff>374650</xdr:colOff>
                    <xdr:row>7</xdr:row>
                    <xdr:rowOff>323850</xdr:rowOff>
                  </to>
                </anchor>
              </controlPr>
            </control>
          </mc:Choice>
        </mc:AlternateContent>
        <mc:AlternateContent xmlns:mc="http://schemas.openxmlformats.org/markup-compatibility/2006">
          <mc:Choice Requires="x14">
            <control shapeId="67589" r:id="rId8" name="Option Button 5">
              <controlPr defaultSize="0" autoFill="0" autoLine="0" autoPict="0">
                <anchor moveWithCells="1">
                  <from>
                    <xdr:col>8</xdr:col>
                    <xdr:colOff>0</xdr:colOff>
                    <xdr:row>7</xdr:row>
                    <xdr:rowOff>0</xdr:rowOff>
                  </from>
                  <to>
                    <xdr:col>8</xdr:col>
                    <xdr:colOff>374650</xdr:colOff>
                    <xdr:row>7</xdr:row>
                    <xdr:rowOff>323850</xdr:rowOff>
                  </to>
                </anchor>
              </controlPr>
            </control>
          </mc:Choice>
        </mc:AlternateContent>
        <mc:AlternateContent xmlns:mc="http://schemas.openxmlformats.org/markup-compatibility/2006">
          <mc:Choice Requires="x14">
            <control shapeId="67590" r:id="rId9" name="Option Button 6">
              <controlPr defaultSize="0" autoFill="0" autoLine="0" autoPict="0">
                <anchor moveWithCells="1">
                  <from>
                    <xdr:col>10</xdr:col>
                    <xdr:colOff>0</xdr:colOff>
                    <xdr:row>7</xdr:row>
                    <xdr:rowOff>0</xdr:rowOff>
                  </from>
                  <to>
                    <xdr:col>10</xdr:col>
                    <xdr:colOff>374650</xdr:colOff>
                    <xdr:row>7</xdr:row>
                    <xdr:rowOff>323850</xdr:rowOff>
                  </to>
                </anchor>
              </controlPr>
            </control>
          </mc:Choice>
        </mc:AlternateContent>
        <mc:AlternateContent xmlns:mc="http://schemas.openxmlformats.org/markup-compatibility/2006">
          <mc:Choice Requires="x14">
            <control shapeId="67591" r:id="rId10" name="Option Button 7">
              <controlPr defaultSize="0" autoFill="0" autoLine="0" autoPict="0">
                <anchor moveWithCells="1">
                  <from>
                    <xdr:col>12</xdr:col>
                    <xdr:colOff>0</xdr:colOff>
                    <xdr:row>7</xdr:row>
                    <xdr:rowOff>0</xdr:rowOff>
                  </from>
                  <to>
                    <xdr:col>12</xdr:col>
                    <xdr:colOff>374650</xdr:colOff>
                    <xdr:row>7</xdr:row>
                    <xdr:rowOff>323850</xdr:rowOff>
                  </to>
                </anchor>
              </controlPr>
            </control>
          </mc:Choice>
        </mc:AlternateContent>
        <mc:AlternateContent xmlns:mc="http://schemas.openxmlformats.org/markup-compatibility/2006">
          <mc:Choice Requires="x14">
            <control shapeId="67592" r:id="rId11" name="Option Button 8">
              <controlPr defaultSize="0" autoFill="0" autoLine="0" autoPict="0">
                <anchor moveWithCells="1">
                  <from>
                    <xdr:col>14</xdr:col>
                    <xdr:colOff>0</xdr:colOff>
                    <xdr:row>7</xdr:row>
                    <xdr:rowOff>0</xdr:rowOff>
                  </from>
                  <to>
                    <xdr:col>14</xdr:col>
                    <xdr:colOff>374650</xdr:colOff>
                    <xdr:row>7</xdr:row>
                    <xdr:rowOff>323850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B6B4-DD67-4BB5-8CB5-4FDF1254BC4D}">
  <sheetPr>
    <tabColor rgb="FF00C698"/>
    <pageSetUpPr fitToPage="1"/>
  </sheetPr>
  <dimension ref="A1:J32"/>
  <sheetViews>
    <sheetView showGridLines="0" topLeftCell="A3" workbookViewId="0">
      <selection activeCell="C11" sqref="C11"/>
    </sheetView>
  </sheetViews>
  <sheetFormatPr defaultColWidth="9.1796875" defaultRowHeight="14" x14ac:dyDescent="0.3"/>
  <cols>
    <col min="1" max="1" width="10" style="128" customWidth="1"/>
    <col min="2" max="2" width="51.26953125" style="128" customWidth="1"/>
    <col min="3" max="7" width="17.1796875" style="128" customWidth="1"/>
    <col min="8" max="16384" width="9.1796875" style="128"/>
  </cols>
  <sheetData>
    <row r="1" spans="1:10" ht="22.5" x14ac:dyDescent="0.45">
      <c r="A1" s="308" t="str">
        <f ca="1">'Translation Table'!H42</f>
        <v>System-Wide Emission Results (IPCC) - Summary by Industry Segment and Pollutant Type</v>
      </c>
      <c r="B1" s="308"/>
      <c r="C1" s="308"/>
      <c r="D1" s="308"/>
      <c r="E1" s="308"/>
      <c r="F1" s="308"/>
      <c r="G1" s="308"/>
    </row>
    <row r="2" spans="1:10" ht="15" customHeight="1" x14ac:dyDescent="0.45">
      <c r="B2" s="181"/>
      <c r="C2" s="181"/>
      <c r="D2" s="181"/>
      <c r="E2" s="181"/>
      <c r="F2" s="181"/>
      <c r="G2" s="181"/>
    </row>
    <row r="3" spans="1:10" x14ac:dyDescent="0.3">
      <c r="A3" s="312" t="str">
        <f ca="1">'Translation Table'!H273</f>
        <v>Company Name:</v>
      </c>
      <c r="B3" s="313"/>
      <c r="C3" s="311">
        <f>'Setup - IPCC Assessment'!E4</f>
        <v>0</v>
      </c>
      <c r="D3" s="311"/>
      <c r="E3" s="311"/>
    </row>
    <row r="4" spans="1:10" x14ac:dyDescent="0.3">
      <c r="A4" s="312" t="str">
        <f ca="1">'Translation Table'!H274</f>
        <v>Asset ID:</v>
      </c>
      <c r="B4" s="313"/>
      <c r="C4" s="311">
        <f>'Setup - IPCC Assessment'!E5</f>
        <v>0</v>
      </c>
      <c r="D4" s="311"/>
      <c r="E4" s="311"/>
    </row>
    <row r="5" spans="1:10" x14ac:dyDescent="0.3">
      <c r="A5" s="312" t="str">
        <f ca="1">'Translation Table'!H275</f>
        <v>Country:</v>
      </c>
      <c r="B5" s="313"/>
      <c r="C5" s="311">
        <f>'Setup - IPCC Assessment'!E6</f>
        <v>0</v>
      </c>
      <c r="D5" s="311"/>
      <c r="E5" s="311"/>
    </row>
    <row r="6" spans="1:10" x14ac:dyDescent="0.3">
      <c r="A6" s="312" t="str">
        <f ca="1">'Translation Table'!H276</f>
        <v>Reference Year:</v>
      </c>
      <c r="B6" s="313"/>
      <c r="C6" s="311">
        <f>'Setup - IPCC Assessment'!E7</f>
        <v>0</v>
      </c>
      <c r="D6" s="311"/>
      <c r="E6" s="311"/>
    </row>
    <row r="8" spans="1:10" ht="16.5" customHeight="1" x14ac:dyDescent="0.3">
      <c r="A8" s="309" t="str">
        <f ca="1">'Translation Table'!H43</f>
        <v>CRF Category</v>
      </c>
      <c r="B8" s="314" t="str">
        <f ca="1">'Translation Table'!H44</f>
        <v xml:space="preserve">Industry Segment </v>
      </c>
      <c r="C8" s="153" t="str">
        <f ca="1">'Translation Table'!H45</f>
        <v>CH4</v>
      </c>
      <c r="D8" s="153" t="str">
        <f ca="1">'Translation Table'!H46</f>
        <v>CO2</v>
      </c>
      <c r="E8" s="153" t="str">
        <f ca="1">'Translation Table'!H47</f>
        <v>N2O</v>
      </c>
      <c r="F8" s="153" t="str">
        <f ca="1">'Translation Table'!H48</f>
        <v>CO2E</v>
      </c>
      <c r="G8" s="153" t="str">
        <f ca="1">'Translation Table'!H49</f>
        <v>NOx</v>
      </c>
      <c r="H8" s="153" t="str">
        <f ca="1">'Translation Table'!H50</f>
        <v>CO</v>
      </c>
      <c r="I8" s="153" t="str">
        <f ca="1">'Translation Table'!H51</f>
        <v>NMVOC</v>
      </c>
      <c r="J8" s="153" t="str">
        <f ca="1">'Translation Table'!H52</f>
        <v>SO2</v>
      </c>
    </row>
    <row r="9" spans="1:10" ht="15.5" x14ac:dyDescent="0.35">
      <c r="A9" s="310"/>
      <c r="B9" s="315"/>
      <c r="C9" s="154" t="str">
        <f ca="1">'Translation Table'!H53</f>
        <v>(tonnes)</v>
      </c>
      <c r="D9" s="154" t="str">
        <f ca="1">'Translation Table'!H53</f>
        <v>(tonnes)</v>
      </c>
      <c r="E9" s="154" t="str">
        <f ca="1">'Translation Table'!H53</f>
        <v>(tonnes)</v>
      </c>
      <c r="F9" s="154" t="str">
        <f ca="1">'Translation Table'!H53</f>
        <v>(tonnes)</v>
      </c>
      <c r="G9" s="154" t="str">
        <f ca="1">'Translation Table'!H53</f>
        <v>(tonnes)</v>
      </c>
      <c r="H9" s="154" t="str">
        <f ca="1">'Translation Table'!H53</f>
        <v>(tonnes)</v>
      </c>
      <c r="I9" s="154" t="str">
        <f ca="1">'Translation Table'!H53</f>
        <v>(tonnes)</v>
      </c>
      <c r="J9" s="154" t="str">
        <f ca="1">'Translation Table'!H53</f>
        <v>(tonnes)</v>
      </c>
    </row>
    <row r="10" spans="1:10" x14ac:dyDescent="0.3">
      <c r="A10" s="212" t="s">
        <v>1185</v>
      </c>
      <c r="B10" s="197" t="str">
        <f ca="1">'Translation Table'!H56</f>
        <v>Energy Industries:</v>
      </c>
      <c r="C10" s="157">
        <f ca="1">C11+C12</f>
        <v>2.0352723115742761</v>
      </c>
      <c r="D10" s="157">
        <f ca="1">D11+D12</f>
        <v>50271.226095884624</v>
      </c>
      <c r="E10" s="157">
        <f ca="1">E11+E12</f>
        <v>0.4070544623148552</v>
      </c>
      <c r="F10" s="157">
        <f ca="1">F11+F12</f>
        <v>50436.083153122141</v>
      </c>
      <c r="G10" s="157">
        <f t="shared" ref="G10:J10" ca="1" si="0">G11+G12</f>
        <v>0</v>
      </c>
      <c r="H10" s="157">
        <f t="shared" ca="1" si="0"/>
        <v>0</v>
      </c>
      <c r="I10" s="157">
        <f t="shared" ca="1" si="0"/>
        <v>0</v>
      </c>
      <c r="J10" s="158">
        <f t="shared" ca="1" si="0"/>
        <v>14.837186356475909</v>
      </c>
    </row>
    <row r="11" spans="1:10" x14ac:dyDescent="0.3">
      <c r="A11" s="213" t="s">
        <v>1186</v>
      </c>
      <c r="B11" s="198" t="str">
        <f ca="1">'Translation Table'!H57</f>
        <v>Petroleum Refining</v>
      </c>
      <c r="C11" s="159">
        <f ca="1">'Calculations – IPCC'!Q14+'Calculations – IPCC'!Q30+'Calculations – IPCC'!Q36</f>
        <v>2.0340720000000001</v>
      </c>
      <c r="D11" s="159">
        <f ca="1">'Calculations – IPCC'!R14+'Calculations – IPCC'!R30+'Calculations – IPCC'!R36</f>
        <v>50241.578399999999</v>
      </c>
      <c r="E11" s="159">
        <f ca="1">'Calculations – IPCC'!S14+'Calculations – IPCC'!S30+'Calculations – IPCC'!S36</f>
        <v>0.40681439999999996</v>
      </c>
      <c r="F11" s="159">
        <f ca="1">C$32*C11+D11+E$32*E11</f>
        <v>50406.338232000002</v>
      </c>
      <c r="G11" s="159">
        <f ca="1">'Calculations – IPCC'!T14+'Calculations – IPCC'!T30+'Calculations – IPCC'!T36</f>
        <v>0</v>
      </c>
      <c r="H11" s="159">
        <f ca="1">'Calculations – IPCC'!U14+'Calculations – IPCC'!U30+'Calculations – IPCC'!U36</f>
        <v>0</v>
      </c>
      <c r="I11" s="159">
        <f ca="1">'Calculations – IPCC'!V14+'Calculations – IPCC'!V30+'Calculations – IPCC'!V36</f>
        <v>0</v>
      </c>
      <c r="J11" s="155">
        <f ca="1">'Calculations – IPCC'!W14+'Calculations – IPCC'!W30+'Calculations – IPCC'!W36</f>
        <v>14.828436054900983</v>
      </c>
    </row>
    <row r="12" spans="1:10" x14ac:dyDescent="0.3">
      <c r="A12" s="214" t="s">
        <v>1187</v>
      </c>
      <c r="B12" s="199" t="str">
        <f ca="1">'Translation Table'!H58</f>
        <v>Manufacture of solid fuels and other energy industries</v>
      </c>
      <c r="C12" s="160">
        <f ca="1">'Calculations – IPCC'!X14+'Calculations – IPCC'!X30+'Calculations – IPCC'!X36</f>
        <v>1.2003115742762389E-3</v>
      </c>
      <c r="D12" s="160">
        <f ca="1">'Calculations – IPCC'!Y14+'Calculations – IPCC'!Y30+'Calculations – IPCC'!Y36</f>
        <v>29.647695884623101</v>
      </c>
      <c r="E12" s="160">
        <f ca="1">'Calculations – IPCC'!Z14+'Calculations – IPCC'!Z30+'Calculations – IPCC'!Z36</f>
        <v>2.4006231485524776E-4</v>
      </c>
      <c r="F12" s="160">
        <f ca="1">C$32*C12+D12+E$32*E12</f>
        <v>29.744921122139477</v>
      </c>
      <c r="G12" s="160">
        <f ca="1">'Calculations – IPCC'!AA14+'Calculations – IPCC'!AA30+'Calculations – IPCC'!AA36</f>
        <v>0</v>
      </c>
      <c r="H12" s="160">
        <f ca="1">'Calculations – IPCC'!AB14+'Calculations – IPCC'!AB30+'Calculations – IPCC'!AB36</f>
        <v>0</v>
      </c>
      <c r="I12" s="160">
        <f ca="1">'Calculations – IPCC'!AC14+'Calculations – IPCC'!AC30+'Calculations – IPCC'!AC36</f>
        <v>0</v>
      </c>
      <c r="J12" s="156">
        <f ca="1">'Calculations – IPCC'!AD14+'Calculations – IPCC'!AD30+'Calculations – IPCC'!AD36</f>
        <v>8.7503015749259318E-3</v>
      </c>
    </row>
    <row r="13" spans="1:10" x14ac:dyDescent="0.3">
      <c r="A13" s="213" t="s">
        <v>1188</v>
      </c>
      <c r="B13" s="200" t="str">
        <f ca="1">'Translation Table'!H59</f>
        <v>Oil and Natural Gas</v>
      </c>
      <c r="C13" s="159">
        <f ca="1">SUM(C14,C22)</f>
        <v>0</v>
      </c>
      <c r="D13" s="159">
        <f ca="1">SUM(D14,D22)</f>
        <v>0</v>
      </c>
      <c r="E13" s="159">
        <f ca="1">SUM(E14,E22)</f>
        <v>0</v>
      </c>
      <c r="F13" s="159">
        <f ca="1">SUM(F14,F22)</f>
        <v>0</v>
      </c>
      <c r="G13" s="159">
        <f t="shared" ref="G13:J13" ca="1" si="1">SUM(G14,G22)</f>
        <v>0</v>
      </c>
      <c r="H13" s="159">
        <f t="shared" ca="1" si="1"/>
        <v>0</v>
      </c>
      <c r="I13" s="159">
        <f t="shared" ca="1" si="1"/>
        <v>0</v>
      </c>
      <c r="J13" s="161">
        <f t="shared" ca="1" si="1"/>
        <v>0</v>
      </c>
    </row>
    <row r="14" spans="1:10" x14ac:dyDescent="0.3">
      <c r="A14" s="214" t="s">
        <v>1189</v>
      </c>
      <c r="B14" s="201" t="str">
        <f ca="1">'Translation Table'!H60</f>
        <v>Oil</v>
      </c>
      <c r="C14" s="160">
        <f ca="1">SUM(C15:C21)</f>
        <v>0</v>
      </c>
      <c r="D14" s="160">
        <f t="shared" ref="D14:J14" ca="1" si="2">SUM(D15:D21)</f>
        <v>0</v>
      </c>
      <c r="E14" s="160">
        <f t="shared" ca="1" si="2"/>
        <v>0</v>
      </c>
      <c r="F14" s="160">
        <f t="shared" ca="1" si="2"/>
        <v>0</v>
      </c>
      <c r="G14" s="160">
        <f t="shared" ca="1" si="2"/>
        <v>0</v>
      </c>
      <c r="H14" s="160">
        <f t="shared" ca="1" si="2"/>
        <v>0</v>
      </c>
      <c r="I14" s="160">
        <f t="shared" ca="1" si="2"/>
        <v>0</v>
      </c>
      <c r="J14" s="162">
        <f t="shared" ca="1" si="2"/>
        <v>0</v>
      </c>
    </row>
    <row r="15" spans="1:10" x14ac:dyDescent="0.3">
      <c r="A15" s="213"/>
      <c r="B15" s="198" t="str">
        <f ca="1">'Translation Table'!H61</f>
        <v>Exploration</v>
      </c>
      <c r="C15" s="159">
        <f ca="1">SUM('Calculations – IPCC'!P43:P51)</f>
        <v>0</v>
      </c>
      <c r="D15" s="159">
        <f ca="1">SUM('Calculations – IPCC'!Q43:Q51)</f>
        <v>0</v>
      </c>
      <c r="E15" s="159">
        <f ca="1">SUM('Calculations – IPCC'!R43:R51)</f>
        <v>0</v>
      </c>
      <c r="F15" s="159">
        <f ca="1">C$32*C15+D15+E$32*E15</f>
        <v>0</v>
      </c>
      <c r="G15" s="159">
        <f ca="1">SUM('Calculations – IPCC'!S43:S51)</f>
        <v>0</v>
      </c>
      <c r="H15" s="159">
        <f ca="1">SUM('Calculations – IPCC'!T43:T51)</f>
        <v>0</v>
      </c>
      <c r="I15" s="159">
        <f ca="1">SUM('Calculations – IPCC'!U43:U51)</f>
        <v>0</v>
      </c>
      <c r="J15" s="161">
        <f ca="1">SUM('Calculations – IPCC'!V43:V51)</f>
        <v>0</v>
      </c>
    </row>
    <row r="16" spans="1:10" x14ac:dyDescent="0.3">
      <c r="A16" s="214"/>
      <c r="B16" s="199" t="str">
        <f ca="1">'Translation Table'!H62</f>
        <v>Production and Upgrading</v>
      </c>
      <c r="C16" s="160">
        <f ca="1">SUM('Calculations – IPCC'!P52:P60)</f>
        <v>0</v>
      </c>
      <c r="D16" s="160">
        <f ca="1">SUM('Calculations – IPCC'!Q52:Q60)</f>
        <v>0</v>
      </c>
      <c r="E16" s="160">
        <f ca="1">SUM('Calculations – IPCC'!R52:R60)</f>
        <v>0</v>
      </c>
      <c r="F16" s="160">
        <f t="shared" ref="F16:F30" ca="1" si="3">C$32*C16+D16+E$32*E16</f>
        <v>0</v>
      </c>
      <c r="G16" s="160">
        <f ca="1">SUM('Calculations – IPCC'!S52:S60)</f>
        <v>0</v>
      </c>
      <c r="H16" s="160">
        <f ca="1">SUM('Calculations – IPCC'!T52:T60)</f>
        <v>0</v>
      </c>
      <c r="I16" s="160">
        <f ca="1">SUM('Calculations – IPCC'!U52:U60)</f>
        <v>0</v>
      </c>
      <c r="J16" s="162">
        <f ca="1">SUM('Calculations – IPCC'!V52:V60)</f>
        <v>0</v>
      </c>
    </row>
    <row r="17" spans="1:10" x14ac:dyDescent="0.3">
      <c r="A17" s="213"/>
      <c r="B17" s="198" t="str">
        <f ca="1">'Translation Table'!H63</f>
        <v>Transport</v>
      </c>
      <c r="C17" s="159">
        <f ca="1">SUM('Calculations – IPCC'!P61:P65)</f>
        <v>0</v>
      </c>
      <c r="D17" s="159">
        <f ca="1">SUM('Calculations – IPCC'!Q61:Q65)</f>
        <v>0</v>
      </c>
      <c r="E17" s="159">
        <f ca="1">SUM('Calculations – IPCC'!R61:R65)</f>
        <v>0</v>
      </c>
      <c r="F17" s="159">
        <f t="shared" ca="1" si="3"/>
        <v>0</v>
      </c>
      <c r="G17" s="159">
        <f ca="1">SUM('Calculations – IPCC'!S61:S65)</f>
        <v>0</v>
      </c>
      <c r="H17" s="159">
        <f ca="1">SUM('Calculations – IPCC'!T61:T65)</f>
        <v>0</v>
      </c>
      <c r="I17" s="159">
        <f ca="1">SUM('Calculations – IPCC'!U61:U65)</f>
        <v>0</v>
      </c>
      <c r="J17" s="161">
        <f ca="1">SUM('Calculations – IPCC'!V61:V65)</f>
        <v>0</v>
      </c>
    </row>
    <row r="18" spans="1:10" x14ac:dyDescent="0.3">
      <c r="A18" s="214"/>
      <c r="B18" s="199" t="str">
        <f ca="1">'Translation Table'!H64</f>
        <v>Refining</v>
      </c>
      <c r="C18" s="160">
        <f ca="1">'Calculations – IPCC'!P67</f>
        <v>0</v>
      </c>
      <c r="D18" s="160">
        <f ca="1">'Calculations – IPCC'!Q67</f>
        <v>0</v>
      </c>
      <c r="E18" s="160">
        <f ca="1">'Calculations – IPCC'!R67</f>
        <v>0</v>
      </c>
      <c r="F18" s="160">
        <f t="shared" ca="1" si="3"/>
        <v>0</v>
      </c>
      <c r="G18" s="160">
        <f ca="1">'Calculations – IPCC'!S67</f>
        <v>0</v>
      </c>
      <c r="H18" s="160">
        <f ca="1">'Calculations – IPCC'!T67</f>
        <v>0</v>
      </c>
      <c r="I18" s="160">
        <f ca="1">'Calculations – IPCC'!U67</f>
        <v>0</v>
      </c>
      <c r="J18" s="162">
        <f ca="1">'Calculations – IPCC'!V67</f>
        <v>0</v>
      </c>
    </row>
    <row r="19" spans="1:10" x14ac:dyDescent="0.3">
      <c r="A19" s="213"/>
      <c r="B19" s="198" t="str">
        <f ca="1">'Translation Table'!H65</f>
        <v>Distribution of Oil Products</v>
      </c>
      <c r="C19" s="159">
        <f ca="1">SUM('Calculations – IPCC'!P68:P69)</f>
        <v>0</v>
      </c>
      <c r="D19" s="159">
        <f ca="1">SUM('Calculations – IPCC'!Q68:Q69)</f>
        <v>0</v>
      </c>
      <c r="E19" s="159">
        <f ca="1">SUM('Calculations – IPCC'!R68:R69)</f>
        <v>0</v>
      </c>
      <c r="F19" s="159">
        <f t="shared" ca="1" si="3"/>
        <v>0</v>
      </c>
      <c r="G19" s="159">
        <f ca="1">SUM('Calculations – IPCC'!S68:S69)</f>
        <v>0</v>
      </c>
      <c r="H19" s="159">
        <f ca="1">SUM('Calculations – IPCC'!T68:T69)</f>
        <v>0</v>
      </c>
      <c r="I19" s="159">
        <f ca="1">SUM('Calculations – IPCC'!U68:U69)</f>
        <v>0</v>
      </c>
      <c r="J19" s="161">
        <f ca="1">SUM('Calculations – IPCC'!V68:V69)</f>
        <v>0</v>
      </c>
    </row>
    <row r="20" spans="1:10" x14ac:dyDescent="0.3">
      <c r="A20" s="214"/>
      <c r="B20" s="199" t="str">
        <f ca="1">'Translation Table'!H66</f>
        <v>Other</v>
      </c>
      <c r="C20" s="160">
        <f ca="1">'Calculations – IPCC'!P70</f>
        <v>0</v>
      </c>
      <c r="D20" s="160">
        <f ca="1">'Calculations – IPCC'!Q70</f>
        <v>0</v>
      </c>
      <c r="E20" s="160">
        <f ca="1">'Calculations – IPCC'!R70</f>
        <v>0</v>
      </c>
      <c r="F20" s="160">
        <f t="shared" ca="1" si="3"/>
        <v>0</v>
      </c>
      <c r="G20" s="160">
        <f ca="1">'Calculations – IPCC'!S70</f>
        <v>0</v>
      </c>
      <c r="H20" s="160">
        <f ca="1">'Calculations – IPCC'!T70</f>
        <v>0</v>
      </c>
      <c r="I20" s="160">
        <f ca="1">'Calculations – IPCC'!U70</f>
        <v>0</v>
      </c>
      <c r="J20" s="162">
        <f ca="1">'Calculations – IPCC'!V70</f>
        <v>0</v>
      </c>
    </row>
    <row r="21" spans="1:10" x14ac:dyDescent="0.3">
      <c r="A21" s="213"/>
      <c r="B21" s="198" t="str">
        <f ca="1">'Translation Table'!H67</f>
        <v>Abandoned Oil Wells</v>
      </c>
      <c r="C21" s="159">
        <f ca="1">SUM('Calculations – IPCC'!P71:P76)</f>
        <v>0</v>
      </c>
      <c r="D21" s="159">
        <f ca="1">SUM('Calculations – IPCC'!Q71:Q76)</f>
        <v>0</v>
      </c>
      <c r="E21" s="159">
        <f ca="1">SUM('Calculations – IPCC'!R71:R76)</f>
        <v>0</v>
      </c>
      <c r="F21" s="159">
        <f t="shared" ca="1" si="3"/>
        <v>0</v>
      </c>
      <c r="G21" s="159">
        <f ca="1">SUM('Calculations – IPCC'!S71:S76)</f>
        <v>0</v>
      </c>
      <c r="H21" s="159">
        <f ca="1">SUM('Calculations – IPCC'!T71:T76)</f>
        <v>0</v>
      </c>
      <c r="I21" s="159">
        <f ca="1">SUM('Calculations – IPCC'!U71:U76)</f>
        <v>0</v>
      </c>
      <c r="J21" s="161">
        <f ca="1">SUM('Calculations – IPCC'!V71:V76)</f>
        <v>0</v>
      </c>
    </row>
    <row r="22" spans="1:10" x14ac:dyDescent="0.3">
      <c r="A22" s="214" t="s">
        <v>1190</v>
      </c>
      <c r="B22" s="201" t="str">
        <f ca="1">'Translation Table'!H68</f>
        <v>Natural Gas</v>
      </c>
      <c r="C22" s="160">
        <f ca="1">SUM(C23:C30)</f>
        <v>0</v>
      </c>
      <c r="D22" s="160">
        <f t="shared" ref="D22:J22" ca="1" si="4">SUM(D23:D30)</f>
        <v>0</v>
      </c>
      <c r="E22" s="160">
        <f t="shared" ca="1" si="4"/>
        <v>0</v>
      </c>
      <c r="F22" s="160">
        <f t="shared" ca="1" si="4"/>
        <v>0</v>
      </c>
      <c r="G22" s="160">
        <f t="shared" ca="1" si="4"/>
        <v>0</v>
      </c>
      <c r="H22" s="160">
        <f t="shared" ca="1" si="4"/>
        <v>0</v>
      </c>
      <c r="I22" s="160">
        <f t="shared" ca="1" si="4"/>
        <v>0</v>
      </c>
      <c r="J22" s="162">
        <f t="shared" ca="1" si="4"/>
        <v>0</v>
      </c>
    </row>
    <row r="23" spans="1:10" x14ac:dyDescent="0.3">
      <c r="A23" s="213"/>
      <c r="B23" s="198" t="str">
        <f ca="1">'Translation Table'!H69</f>
        <v>Exploration</v>
      </c>
      <c r="C23" s="159">
        <f ca="1">SUM('Calculations – IPCC'!P77:P85)</f>
        <v>0</v>
      </c>
      <c r="D23" s="159">
        <f ca="1">SUM('Calculations – IPCC'!Q77:Q85)</f>
        <v>0</v>
      </c>
      <c r="E23" s="159">
        <f ca="1">SUM('Calculations – IPCC'!R77:R85)</f>
        <v>0</v>
      </c>
      <c r="F23" s="159">
        <f t="shared" ca="1" si="3"/>
        <v>0</v>
      </c>
      <c r="G23" s="159">
        <f ca="1">SUM('Calculations – IPCC'!S77:S85)</f>
        <v>0</v>
      </c>
      <c r="H23" s="159">
        <f ca="1">SUM('Calculations – IPCC'!T77:T85)</f>
        <v>0</v>
      </c>
      <c r="I23" s="159">
        <f ca="1">SUM('Calculations – IPCC'!U77:U85)</f>
        <v>0</v>
      </c>
      <c r="J23" s="161">
        <f ca="1">SUM('Calculations – IPCC'!V77:V85)</f>
        <v>0</v>
      </c>
    </row>
    <row r="24" spans="1:10" x14ac:dyDescent="0.3">
      <c r="A24" s="214"/>
      <c r="B24" s="199" t="str">
        <f ca="1">'Translation Table'!H70</f>
        <v>Production and Gathering</v>
      </c>
      <c r="C24" s="160">
        <f ca="1">SUM('Calculations – IPCC'!P86:P94)</f>
        <v>0</v>
      </c>
      <c r="D24" s="160">
        <f ca="1">SUM('Calculations – IPCC'!Q86:Q94)</f>
        <v>0</v>
      </c>
      <c r="E24" s="160">
        <f ca="1">SUM('Calculations – IPCC'!R86:R94)</f>
        <v>0</v>
      </c>
      <c r="F24" s="160">
        <f t="shared" ca="1" si="3"/>
        <v>0</v>
      </c>
      <c r="G24" s="160">
        <f ca="1">SUM('Calculations – IPCC'!S86:S94)</f>
        <v>0</v>
      </c>
      <c r="H24" s="160">
        <f ca="1">SUM('Calculations – IPCC'!T86:T94)</f>
        <v>0</v>
      </c>
      <c r="I24" s="160">
        <f ca="1">SUM('Calculations – IPCC'!U86:U94)</f>
        <v>0</v>
      </c>
      <c r="J24" s="162">
        <f ca="1">SUM('Calculations – IPCC'!V86:V94)</f>
        <v>0</v>
      </c>
    </row>
    <row r="25" spans="1:10" x14ac:dyDescent="0.3">
      <c r="A25" s="213"/>
      <c r="B25" s="198" t="str">
        <f ca="1">'Translation Table'!H71</f>
        <v>Processing</v>
      </c>
      <c r="C25" s="159">
        <f ca="1">SUM('Calculations – IPCC'!P95:P101)</f>
        <v>0</v>
      </c>
      <c r="D25" s="159">
        <f ca="1">SUM('Calculations – IPCC'!Q95:Q101)</f>
        <v>0</v>
      </c>
      <c r="E25" s="159">
        <f ca="1">SUM('Calculations – IPCC'!R95:R101)</f>
        <v>0</v>
      </c>
      <c r="F25" s="159">
        <f t="shared" ca="1" si="3"/>
        <v>0</v>
      </c>
      <c r="G25" s="159">
        <f ca="1">SUM('Calculations – IPCC'!S95:S101)</f>
        <v>0</v>
      </c>
      <c r="H25" s="159">
        <f ca="1">SUM('Calculations – IPCC'!T95:T101)</f>
        <v>0</v>
      </c>
      <c r="I25" s="159">
        <f ca="1">SUM('Calculations – IPCC'!U95:U101)</f>
        <v>0</v>
      </c>
      <c r="J25" s="161">
        <f ca="1">SUM('Calculations – IPCC'!V95:V101)</f>
        <v>0</v>
      </c>
    </row>
    <row r="26" spans="1:10" x14ac:dyDescent="0.3">
      <c r="A26" s="214"/>
      <c r="B26" s="199" t="str">
        <f ca="1">'Translation Table'!H72</f>
        <v>Transmission and Storage</v>
      </c>
      <c r="C26" s="160">
        <f ca="1">SUM('Calculations – IPCC'!P102:P111)</f>
        <v>0</v>
      </c>
      <c r="D26" s="160">
        <f ca="1">SUM('Calculations – IPCC'!Q102:Q111)</f>
        <v>0</v>
      </c>
      <c r="E26" s="160">
        <f ca="1">SUM('Calculations – IPCC'!R102:R111)</f>
        <v>0</v>
      </c>
      <c r="F26" s="160">
        <f t="shared" ca="1" si="3"/>
        <v>0</v>
      </c>
      <c r="G26" s="160">
        <f ca="1">SUM('Calculations – IPCC'!S102:S111)</f>
        <v>0</v>
      </c>
      <c r="H26" s="160">
        <f ca="1">SUM('Calculations – IPCC'!T102:T111)</f>
        <v>0</v>
      </c>
      <c r="I26" s="160">
        <f ca="1">SUM('Calculations – IPCC'!U102:U111)</f>
        <v>0</v>
      </c>
      <c r="J26" s="162">
        <f ca="1">SUM('Calculations – IPCC'!V102:V111)</f>
        <v>0</v>
      </c>
    </row>
    <row r="27" spans="1:10" x14ac:dyDescent="0.3">
      <c r="A27" s="213"/>
      <c r="B27" s="198" t="str">
        <f ca="1">'Translation Table'!H73</f>
        <v>Distribution</v>
      </c>
      <c r="C27" s="159">
        <f ca="1">SUM('Calculations – IPCC'!P112:P120)</f>
        <v>0</v>
      </c>
      <c r="D27" s="159">
        <f ca="1">SUM('Calculations – IPCC'!Q112:Q120)</f>
        <v>0</v>
      </c>
      <c r="E27" s="159">
        <f ca="1">SUM('Calculations – IPCC'!R112:R120)</f>
        <v>0</v>
      </c>
      <c r="F27" s="159">
        <f t="shared" ca="1" si="3"/>
        <v>0</v>
      </c>
      <c r="G27" s="159">
        <f ca="1">SUM('Calculations – IPCC'!S112:S120)</f>
        <v>0</v>
      </c>
      <c r="H27" s="159">
        <f ca="1">SUM('Calculations – IPCC'!T112:T120)</f>
        <v>0</v>
      </c>
      <c r="I27" s="159">
        <f ca="1">SUM('Calculations – IPCC'!U112:U120)</f>
        <v>0</v>
      </c>
      <c r="J27" s="161">
        <f ca="1">SUM('Calculations – IPCC'!V112:V120)</f>
        <v>0</v>
      </c>
    </row>
    <row r="28" spans="1:10" x14ac:dyDescent="0.3">
      <c r="A28" s="214"/>
      <c r="B28" s="199" t="str">
        <f ca="1">'Translation Table'!H74</f>
        <v>Post-Meter</v>
      </c>
      <c r="C28" s="160">
        <f ca="1">SUM('Calculations – IPCC'!P121:P123)</f>
        <v>0</v>
      </c>
      <c r="D28" s="160">
        <f ca="1">SUM('Calculations – IPCC'!Q121:Q123)</f>
        <v>0</v>
      </c>
      <c r="E28" s="160">
        <f ca="1">SUM('Calculations – IPCC'!R121:R123)</f>
        <v>0</v>
      </c>
      <c r="F28" s="160">
        <f t="shared" ca="1" si="3"/>
        <v>0</v>
      </c>
      <c r="G28" s="160">
        <f ca="1">SUM('Calculations – IPCC'!S121:S123)</f>
        <v>0</v>
      </c>
      <c r="H28" s="160">
        <f ca="1">SUM('Calculations – IPCC'!T121:T123)</f>
        <v>0</v>
      </c>
      <c r="I28" s="160">
        <f ca="1">SUM('Calculations – IPCC'!U121:U123)</f>
        <v>0</v>
      </c>
      <c r="J28" s="162">
        <f ca="1">SUM('Calculations – IPCC'!V121:V123)</f>
        <v>0</v>
      </c>
    </row>
    <row r="29" spans="1:10" x14ac:dyDescent="0.3">
      <c r="A29" s="213"/>
      <c r="B29" s="198" t="str">
        <f ca="1">'Translation Table'!H75</f>
        <v>Other</v>
      </c>
      <c r="C29" s="159">
        <f ca="1">'Calculations – IPCC'!P124</f>
        <v>0</v>
      </c>
      <c r="D29" s="159">
        <f ca="1">'Calculations – IPCC'!Q124</f>
        <v>0</v>
      </c>
      <c r="E29" s="159">
        <f ca="1">'Calculations – IPCC'!R124</f>
        <v>0</v>
      </c>
      <c r="F29" s="159">
        <f t="shared" ca="1" si="3"/>
        <v>0</v>
      </c>
      <c r="G29" s="159">
        <f ca="1">'Calculations – IPCC'!S124</f>
        <v>0</v>
      </c>
      <c r="H29" s="159">
        <f ca="1">'Calculations – IPCC'!T124</f>
        <v>0</v>
      </c>
      <c r="I29" s="159">
        <f ca="1">'Calculations – IPCC'!U124</f>
        <v>0</v>
      </c>
      <c r="J29" s="161">
        <f ca="1">'Calculations – IPCC'!V124</f>
        <v>0</v>
      </c>
    </row>
    <row r="30" spans="1:10" x14ac:dyDescent="0.3">
      <c r="A30" s="215"/>
      <c r="B30" s="202" t="str">
        <f ca="1">'Translation Table'!H76</f>
        <v>Abandoned Gas Wells</v>
      </c>
      <c r="C30" s="163">
        <f ca="1">'Calculations – IPCC'!P125</f>
        <v>0</v>
      </c>
      <c r="D30" s="163">
        <f ca="1">'Calculations – IPCC'!Q125</f>
        <v>0</v>
      </c>
      <c r="E30" s="163">
        <f ca="1">'Calculations – IPCC'!R125</f>
        <v>0</v>
      </c>
      <c r="F30" s="163">
        <f t="shared" ca="1" si="3"/>
        <v>0</v>
      </c>
      <c r="G30" s="163">
        <f ca="1">'Calculations – IPCC'!S125</f>
        <v>0</v>
      </c>
      <c r="H30" s="163">
        <f ca="1">'Calculations – IPCC'!T125</f>
        <v>0</v>
      </c>
      <c r="I30" s="163">
        <f ca="1">'Calculations – IPCC'!U125</f>
        <v>0</v>
      </c>
      <c r="J30" s="191">
        <f ca="1">'Calculations – IPCC'!V125</f>
        <v>0</v>
      </c>
    </row>
    <row r="31" spans="1:10" x14ac:dyDescent="0.3">
      <c r="A31" s="307" t="str">
        <f ca="1">'Translation Table'!H54</f>
        <v>Total:</v>
      </c>
      <c r="B31" s="307"/>
      <c r="C31" s="164">
        <f ca="1">SUM(C10,C13)</f>
        <v>2.0352723115742761</v>
      </c>
      <c r="D31" s="164">
        <f t="shared" ref="D31:J31" ca="1" si="5">SUM(D10,D13)</f>
        <v>50271.226095884624</v>
      </c>
      <c r="E31" s="164">
        <f t="shared" ca="1" si="5"/>
        <v>0.4070544623148552</v>
      </c>
      <c r="F31" s="164">
        <f t="shared" ca="1" si="5"/>
        <v>50436.083153122141</v>
      </c>
      <c r="G31" s="164">
        <f t="shared" ca="1" si="5"/>
        <v>0</v>
      </c>
      <c r="H31" s="164">
        <f t="shared" ca="1" si="5"/>
        <v>0</v>
      </c>
      <c r="I31" s="164">
        <f t="shared" ca="1" si="5"/>
        <v>0</v>
      </c>
      <c r="J31" s="164">
        <f t="shared" ca="1" si="5"/>
        <v>14.837186356475909</v>
      </c>
    </row>
    <row r="32" spans="1:10" x14ac:dyDescent="0.3">
      <c r="B32" s="231" t="str">
        <f ca="1">'Translation Table'!H55</f>
        <v>Applied Global Warming Potentials (GWPs)</v>
      </c>
      <c r="C32" s="51">
        <v>28</v>
      </c>
      <c r="D32" s="51">
        <v>1</v>
      </c>
      <c r="E32" s="51">
        <v>265</v>
      </c>
    </row>
  </sheetData>
  <mergeCells count="12">
    <mergeCell ref="A31:B31"/>
    <mergeCell ref="A1:G1"/>
    <mergeCell ref="A8:A9"/>
    <mergeCell ref="C3:E3"/>
    <mergeCell ref="C4:E4"/>
    <mergeCell ref="C5:E5"/>
    <mergeCell ref="C6:E6"/>
    <mergeCell ref="A3:B3"/>
    <mergeCell ref="A4:B4"/>
    <mergeCell ref="A5:B5"/>
    <mergeCell ref="A6:B6"/>
    <mergeCell ref="B8:B9"/>
  </mergeCells>
  <pageMargins left="0.7" right="0.7" top="0.75" bottom="0.75" header="0.3" footer="0.3"/>
  <pageSetup scale="7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312A2-F948-485B-8A66-EAB5CE4F797A}">
  <sheetPr>
    <tabColor rgb="FF0070C0"/>
    <pageSetUpPr fitToPage="1"/>
  </sheetPr>
  <dimension ref="A1:Y604"/>
  <sheetViews>
    <sheetView showGridLines="0" topLeftCell="B19" zoomScaleNormal="100" workbookViewId="0">
      <selection activeCell="C23" sqref="C23:E43"/>
    </sheetView>
  </sheetViews>
  <sheetFormatPr defaultColWidth="9.1796875" defaultRowHeight="14" x14ac:dyDescent="0.35"/>
  <cols>
    <col min="1" max="1" width="9.1796875" style="117" hidden="1" customWidth="1"/>
    <col min="2" max="2" width="19.1796875" style="117" customWidth="1"/>
    <col min="3" max="3" width="5.81640625" style="117" customWidth="1"/>
    <col min="4" max="4" width="15.81640625" style="117" customWidth="1"/>
    <col min="5" max="5" width="6.54296875" style="117" customWidth="1"/>
    <col min="6" max="6" width="33.453125" style="117" customWidth="1"/>
    <col min="7" max="7" width="13.1796875" style="117" customWidth="1"/>
    <col min="8" max="8" width="19.1796875" style="117" customWidth="1"/>
    <col min="9" max="9" width="19.81640625" style="117" customWidth="1"/>
    <col min="10" max="10" width="16.81640625" style="117" customWidth="1"/>
    <col min="11" max="11" width="19.1796875" style="117" customWidth="1"/>
    <col min="12" max="12" width="14.81640625" style="117" customWidth="1"/>
    <col min="13" max="13" width="22.54296875" style="117" customWidth="1"/>
    <col min="14" max="14" width="9.1796875" style="117" customWidth="1"/>
    <col min="15" max="24" width="9.1796875" style="133" hidden="1" customWidth="1"/>
    <col min="25" max="25" width="9.54296875" style="117" hidden="1" customWidth="1"/>
    <col min="26" max="26" width="9.1796875" style="117"/>
    <col min="27" max="27" width="22.81640625" style="117" customWidth="1"/>
    <col min="28" max="16384" width="9.1796875" style="117"/>
  </cols>
  <sheetData>
    <row r="1" spans="1:25" ht="28.5" customHeight="1" x14ac:dyDescent="0.35">
      <c r="B1" s="323" t="str">
        <f ca="1">'Translation Table'!H78</f>
        <v>Asset or System Definition</v>
      </c>
      <c r="C1" s="323"/>
      <c r="D1" s="323"/>
      <c r="E1" s="189"/>
      <c r="F1" s="180"/>
      <c r="J1" s="183" t="str">
        <f>'Language &amp; User Guidance'!C2</f>
        <v>English</v>
      </c>
    </row>
    <row r="2" spans="1:25" ht="12.75" customHeight="1" x14ac:dyDescent="0.35">
      <c r="B2" s="182"/>
      <c r="C2" s="182"/>
      <c r="D2" s="182"/>
      <c r="E2" s="182"/>
      <c r="F2" s="180"/>
    </row>
    <row r="3" spans="1:25" s="23" customFormat="1" ht="18" x14ac:dyDescent="0.4">
      <c r="A3" s="31"/>
      <c r="B3" s="325" t="str">
        <f ca="1">'Translation Table'!H79</f>
        <v>Parameter</v>
      </c>
      <c r="C3" s="325"/>
      <c r="D3" s="325"/>
      <c r="E3" s="325" t="str">
        <f ca="1">'Translation Table'!H86</f>
        <v>Value</v>
      </c>
      <c r="F3" s="325"/>
      <c r="G3" s="325"/>
      <c r="H3" s="325"/>
      <c r="I3" s="333" t="str">
        <f ca="1">'Translation Table'!H277</f>
        <v>Error Message</v>
      </c>
      <c r="J3" s="334"/>
      <c r="N3" s="34"/>
      <c r="O3" s="31"/>
      <c r="P3" s="31"/>
      <c r="Q3" s="31"/>
      <c r="R3" s="31"/>
      <c r="S3" s="31"/>
      <c r="T3" s="31"/>
      <c r="U3" s="31"/>
      <c r="V3" s="31"/>
      <c r="W3" s="31"/>
      <c r="X3" s="31"/>
    </row>
    <row r="4" spans="1:25" s="23" customFormat="1" ht="15" customHeight="1" x14ac:dyDescent="0.3">
      <c r="A4" s="31"/>
      <c r="B4" s="324" t="str">
        <f ca="1">'Translation Table'!H273</f>
        <v>Company Name:</v>
      </c>
      <c r="C4" s="324"/>
      <c r="D4" s="324"/>
      <c r="E4" s="326"/>
      <c r="F4" s="326"/>
      <c r="G4" s="326"/>
      <c r="H4" s="326"/>
      <c r="I4" s="336" t="str">
        <f t="shared" ref="I4:I7" ca="1" si="0">IF(ISBLANK(E4),LOOKUP("Err01",TblErrorMsg),"")</f>
        <v>Error: This field must be completed.</v>
      </c>
      <c r="J4" s="337"/>
      <c r="O4" s="31"/>
      <c r="P4" s="31"/>
      <c r="Q4" s="31"/>
      <c r="R4" s="31"/>
      <c r="S4" s="31"/>
      <c r="T4" s="31"/>
      <c r="U4" s="31"/>
      <c r="V4" s="31"/>
      <c r="W4" s="31"/>
      <c r="X4" s="31"/>
    </row>
    <row r="5" spans="1:25" s="23" customFormat="1" ht="15" customHeight="1" x14ac:dyDescent="0.3">
      <c r="A5" s="31"/>
      <c r="B5" s="324" t="str">
        <f ca="1">'Translation Table'!H274</f>
        <v>Asset ID:</v>
      </c>
      <c r="C5" s="324"/>
      <c r="D5" s="324"/>
      <c r="E5" s="327"/>
      <c r="F5" s="327"/>
      <c r="G5" s="327"/>
      <c r="H5" s="327"/>
      <c r="I5" s="336" t="str">
        <f t="shared" ca="1" si="0"/>
        <v>Error: This field must be completed.</v>
      </c>
      <c r="J5" s="337"/>
      <c r="O5" s="31"/>
      <c r="P5" s="31"/>
      <c r="Q5" s="31"/>
      <c r="R5" s="31"/>
      <c r="S5" s="31"/>
      <c r="T5" s="31"/>
      <c r="U5" s="31"/>
      <c r="V5" s="31"/>
      <c r="W5" s="31"/>
      <c r="X5" s="31"/>
    </row>
    <row r="6" spans="1:25" s="23" customFormat="1" ht="15" customHeight="1" x14ac:dyDescent="0.3">
      <c r="A6" s="31"/>
      <c r="B6" s="324" t="str">
        <f ca="1">'Translation Table'!H275</f>
        <v>Country:</v>
      </c>
      <c r="C6" s="324"/>
      <c r="D6" s="324"/>
      <c r="E6" s="328"/>
      <c r="F6" s="326"/>
      <c r="G6" s="326"/>
      <c r="H6" s="326"/>
      <c r="I6" s="336" t="str">
        <f t="shared" ca="1" si="0"/>
        <v>Error: This field must be completed.</v>
      </c>
      <c r="J6" s="337"/>
      <c r="O6" s="31"/>
      <c r="P6" s="31"/>
      <c r="Q6" s="31"/>
      <c r="R6" s="31"/>
      <c r="S6" s="31"/>
      <c r="T6" s="31"/>
      <c r="U6" s="31"/>
      <c r="V6" s="31"/>
      <c r="W6" s="31"/>
      <c r="X6" s="31"/>
    </row>
    <row r="7" spans="1:25" s="23" customFormat="1" ht="15" customHeight="1" x14ac:dyDescent="0.3">
      <c r="A7" s="31">
        <v>3</v>
      </c>
      <c r="B7" s="324" t="str">
        <f ca="1">'Translation Table'!H276</f>
        <v>Reference Year:</v>
      </c>
      <c r="C7" s="324"/>
      <c r="D7" s="324"/>
      <c r="E7" s="335"/>
      <c r="F7" s="335"/>
      <c r="G7" s="335"/>
      <c r="H7" s="335"/>
      <c r="I7" s="336" t="str">
        <f t="shared" ca="1" si="0"/>
        <v>Error: This field must be completed.</v>
      </c>
      <c r="J7" s="337"/>
      <c r="O7" s="31"/>
      <c r="P7" s="31"/>
      <c r="Q7" s="31"/>
      <c r="R7" s="31"/>
      <c r="S7" s="31"/>
      <c r="T7" s="31"/>
      <c r="U7" s="31"/>
      <c r="V7" s="31"/>
      <c r="W7" s="31"/>
      <c r="X7" s="31"/>
    </row>
    <row r="8" spans="1:25" s="23" customFormat="1" ht="18" customHeight="1" x14ac:dyDescent="0.3">
      <c r="A8" s="31"/>
      <c r="B8" s="184"/>
      <c r="C8" s="184"/>
      <c r="D8" s="184"/>
      <c r="E8" s="185"/>
      <c r="F8" s="186"/>
      <c r="I8" s="187"/>
      <c r="J8" s="187"/>
      <c r="O8" s="31"/>
      <c r="P8" s="31"/>
      <c r="Q8" s="31"/>
      <c r="R8" s="31"/>
      <c r="S8" s="31"/>
      <c r="T8" s="31"/>
      <c r="U8" s="31"/>
      <c r="V8" s="31"/>
      <c r="W8" s="31"/>
      <c r="X8" s="31"/>
    </row>
    <row r="9" spans="1:25" ht="25" customHeight="1" x14ac:dyDescent="0.35">
      <c r="B9" s="322" t="str">
        <f ca="1">'Translation Table'!H77</f>
        <v>FUEL USE INPUT DATA (IPCC)</v>
      </c>
      <c r="C9" s="322"/>
      <c r="D9" s="322"/>
      <c r="E9" s="322"/>
      <c r="F9" s="180"/>
    </row>
    <row r="10" spans="1:25" s="85" customFormat="1" ht="15.5" x14ac:dyDescent="0.35">
      <c r="A10" s="242"/>
      <c r="B10" s="348" t="str">
        <f ca="1">'Translation Table'!H83</f>
        <v>Sector</v>
      </c>
      <c r="C10" s="348" t="str">
        <f ca="1">'Translation Table'!H84</f>
        <v>Subcategory</v>
      </c>
      <c r="D10" s="350"/>
      <c r="E10" s="350"/>
      <c r="F10" s="345" t="str">
        <f ca="1">'Translation Table'!H80</f>
        <v>Solid Fuel Consumption</v>
      </c>
      <c r="G10" s="346"/>
      <c r="H10" s="347"/>
      <c r="I10" s="333" t="str">
        <f ca="1">'Translation Table'!H81</f>
        <v>Liquid Fuel Consumption</v>
      </c>
      <c r="J10" s="366"/>
      <c r="K10" s="367"/>
      <c r="L10" s="343" t="str">
        <f ca="1">'Translation Table'!H82</f>
        <v>Natural Gas Consumption</v>
      </c>
      <c r="M10" s="344"/>
      <c r="O10" s="40"/>
      <c r="P10" s="40"/>
      <c r="Q10" s="40"/>
      <c r="R10" s="40"/>
      <c r="S10" s="40"/>
      <c r="T10" s="40"/>
      <c r="U10" s="40"/>
      <c r="V10" s="40"/>
      <c r="W10" s="40"/>
      <c r="X10" s="40"/>
    </row>
    <row r="11" spans="1:25" s="85" customFormat="1" ht="15.5" x14ac:dyDescent="0.35">
      <c r="B11" s="349"/>
      <c r="C11" s="349"/>
      <c r="D11" s="349"/>
      <c r="E11" s="349"/>
      <c r="F11" s="243" t="str">
        <f ca="1">'Translation Table'!H85</f>
        <v>Type</v>
      </c>
      <c r="G11" s="233" t="str">
        <f ca="1">'Translation Table'!H86</f>
        <v>Value</v>
      </c>
      <c r="H11" s="233" t="str">
        <f ca="1">'Translation Table'!H87</f>
        <v>Units of Measure</v>
      </c>
      <c r="I11" s="114" t="str">
        <f ca="1">'Translation Table'!H88</f>
        <v>Type</v>
      </c>
      <c r="J11" s="33" t="str">
        <f ca="1">'Translation Table'!H89</f>
        <v>Value</v>
      </c>
      <c r="K11" s="33" t="str">
        <f ca="1">'Translation Table'!H90</f>
        <v>Units of Measure</v>
      </c>
      <c r="L11" s="232" t="str">
        <f ca="1">'Translation Table'!H91</f>
        <v>Value</v>
      </c>
      <c r="M11" s="232" t="str">
        <f ca="1">'Translation Table'!H92</f>
        <v>Units of Measure</v>
      </c>
      <c r="O11" s="40"/>
      <c r="P11" s="40"/>
      <c r="Q11" s="40"/>
      <c r="R11" s="40"/>
      <c r="S11" s="40"/>
      <c r="T11" s="40"/>
      <c r="U11" s="40"/>
      <c r="V11" s="40"/>
      <c r="W11" s="40"/>
      <c r="X11" s="40"/>
    </row>
    <row r="12" spans="1:25" ht="15.65" customHeight="1" x14ac:dyDescent="0.35">
      <c r="B12" s="351" t="str">
        <f ca="1">'Translation Table'!H93</f>
        <v>Energy Industries</v>
      </c>
      <c r="C12" s="354" t="str">
        <f ca="1">'Translation Table'!H94</f>
        <v>Petroleum Refining</v>
      </c>
      <c r="D12" s="355"/>
      <c r="E12" s="355"/>
      <c r="F12" s="176" t="str" cm="1">
        <f t="array" aca="1" ref="F12" ca="1">INDEX(SolidFuels,O12)</f>
        <v>Anthracite</v>
      </c>
      <c r="G12" s="203"/>
      <c r="H12" s="178" t="str">
        <f t="shared" ref="H12:H17" ca="1" si="1">INDIRECT("'Lookup Tables'!B"&amp;35+P12) &amp;""</f>
        <v>kg/h</v>
      </c>
      <c r="I12" s="179" t="str" cm="1">
        <f t="array" aca="1" ref="I12" ca="1">INDEX(LiquidFuels,S12)</f>
        <v>Diesel</v>
      </c>
      <c r="J12" s="134">
        <v>2</v>
      </c>
      <c r="K12" s="177" t="str">
        <f ca="1">INDIRECT("'Lookup Tables'!B"&amp;35+T12 )&amp;""</f>
        <v>m^3/h</v>
      </c>
      <c r="L12" s="167"/>
      <c r="M12" s="177" t="str">
        <f ca="1">INDIRECT("'Lookup Tables'!B"&amp;68+W12) &amp;""</f>
        <v>E+03 sm^3/d</v>
      </c>
      <c r="O12" s="133">
        <v>2</v>
      </c>
      <c r="P12" s="133">
        <v>1</v>
      </c>
      <c r="Q12" s="133">
        <f ca="1">(INDIRECT("'Lookup Tables'!D"&amp;35+P12) &amp;"")*G12</f>
        <v>0</v>
      </c>
      <c r="R12" s="133" t="str" cm="1">
        <f t="array" aca="1" ref="R12" ca="1">INDIRECT("'Lookup Tables'!C"&amp;35+P12) &amp;""</f>
        <v>tonne/y</v>
      </c>
      <c r="S12" s="133">
        <v>5</v>
      </c>
      <c r="T12" s="133">
        <v>13</v>
      </c>
      <c r="U12" s="133">
        <f ca="1">(INDIRECT("'Lookup Tables'!D"&amp;35+T12) &amp;"")*J12</f>
        <v>2</v>
      </c>
      <c r="V12" s="133" t="str" cm="1">
        <f t="array" aca="1" ref="V12" ca="1">INDIRECT("'Lookup Tables'!C"&amp;35+T12) &amp;""</f>
        <v>m3/h</v>
      </c>
      <c r="W12" s="133">
        <v>4</v>
      </c>
      <c r="X12" s="133">
        <f ca="1">(INDIRECT("'Lookup Tables'!D"&amp;68+W12) &amp;"") *L12*24</f>
        <v>0</v>
      </c>
      <c r="Y12" s="247" t="s">
        <v>1222</v>
      </c>
    </row>
    <row r="13" spans="1:25" ht="15.65" customHeight="1" x14ac:dyDescent="0.35">
      <c r="B13" s="352"/>
      <c r="C13" s="356"/>
      <c r="D13" s="357"/>
      <c r="E13" s="357"/>
      <c r="F13" s="176" t="str" cm="1">
        <f t="array" aca="1" ref="F13" ca="1">INDEX(SolidFuels,O13)</f>
        <v>Bituminous</v>
      </c>
      <c r="G13" s="167"/>
      <c r="H13" s="136" t="str">
        <f t="shared" ca="1" si="1"/>
        <v>tonnes/d</v>
      </c>
      <c r="I13" s="138" t="str" cm="1">
        <f t="array" aca="1" ref="I13" ca="1">INDEX(LiquidFuels,S13)</f>
        <v>Diesel</v>
      </c>
      <c r="J13" s="134">
        <v>1</v>
      </c>
      <c r="K13" s="137" t="str">
        <f ca="1">INDIRECT("'Lookup Tables'!B"&amp;35+T13) &amp;""</f>
        <v>kg/h</v>
      </c>
      <c r="L13" s="118"/>
      <c r="M13" s="119"/>
      <c r="O13" s="133">
        <v>3</v>
      </c>
      <c r="P13" s="133">
        <v>2</v>
      </c>
      <c r="Q13" s="133">
        <f t="shared" ref="Q13:Q17" ca="1" si="2">(INDIRECT("'Lookup Tables'!D"&amp;35+P13) &amp;"")*G13</f>
        <v>0</v>
      </c>
      <c r="R13" s="133" t="str" cm="1">
        <f t="array" aca="1" ref="R13" ca="1">INDIRECT("'Lookup Tables'!C"&amp;35+P13) &amp;""</f>
        <v>tonne/y</v>
      </c>
      <c r="S13" s="133">
        <v>5</v>
      </c>
      <c r="T13" s="133">
        <v>1</v>
      </c>
      <c r="U13" s="133">
        <f t="shared" ref="U13:U17" ca="1" si="3">(INDIRECT("'Lookup Tables'!D"&amp;35+T13) &amp;"")*J13</f>
        <v>8.76</v>
      </c>
      <c r="V13" s="133" t="str" cm="1">
        <f t="array" aca="1" ref="V13" ca="1">INDIRECT("'Lookup Tables'!C"&amp;35+T13) &amp;""</f>
        <v>tonne/y</v>
      </c>
    </row>
    <row r="14" spans="1:25" ht="15.65" customHeight="1" x14ac:dyDescent="0.35">
      <c r="B14" s="352"/>
      <c r="C14" s="358"/>
      <c r="D14" s="359"/>
      <c r="E14" s="359"/>
      <c r="F14" s="176" t="str" cm="1">
        <f t="array" aca="1" ref="F14" ca="1">INDEX(SolidFuels,O14)</f>
        <v>Anthracite</v>
      </c>
      <c r="G14" s="167"/>
      <c r="H14" s="136" t="str">
        <f t="shared" ca="1" si="1"/>
        <v>kg/h</v>
      </c>
      <c r="I14" s="138" t="str" cm="1">
        <f t="array" aca="1" ref="I14" ca="1">INDEX(LiquidFuels,S14)</f>
        <v>Diesel</v>
      </c>
      <c r="J14" s="134">
        <v>1</v>
      </c>
      <c r="K14" s="137" t="str">
        <f ca="1">INDIRECT("'Lookup Tables'!B"&amp;35+T14) &amp;""</f>
        <v>kg/h</v>
      </c>
      <c r="L14" s="118"/>
      <c r="M14" s="119"/>
      <c r="O14" s="133">
        <v>2</v>
      </c>
      <c r="P14" s="133">
        <v>1</v>
      </c>
      <c r="Q14" s="133">
        <f t="shared" ca="1" si="2"/>
        <v>0</v>
      </c>
      <c r="R14" s="133" t="str" cm="1">
        <f t="array" aca="1" ref="R14" ca="1">INDIRECT("'Lookup Tables'!C"&amp;35+P14) &amp;""</f>
        <v>tonne/y</v>
      </c>
      <c r="S14" s="133">
        <v>5</v>
      </c>
      <c r="T14" s="133">
        <v>1</v>
      </c>
      <c r="U14" s="133">
        <f t="shared" ca="1" si="3"/>
        <v>8.76</v>
      </c>
      <c r="V14" s="133" t="str" cm="1">
        <f t="array" aca="1" ref="V14" ca="1">INDIRECT("'Lookup Tables'!C"&amp;35+T14) &amp;""</f>
        <v>tonne/y</v>
      </c>
    </row>
    <row r="15" spans="1:25" ht="15.65" customHeight="1" x14ac:dyDescent="0.35">
      <c r="B15" s="352"/>
      <c r="C15" s="360" t="str">
        <f ca="1">'Translation Table'!H95</f>
        <v>Other Energy Industries</v>
      </c>
      <c r="D15" s="361"/>
      <c r="E15" s="361"/>
      <c r="F15" s="176" t="str" cm="1">
        <f t="array" aca="1" ref="F15" ca="1">INDEX(SolidFuels,O15)</f>
        <v>Anthracite</v>
      </c>
      <c r="G15" s="167"/>
      <c r="H15" s="136" t="str">
        <f t="shared" ca="1" si="1"/>
        <v>kg/h</v>
      </c>
      <c r="I15" s="138" t="str" cm="1">
        <f t="array" aca="1" ref="I15" ca="1">INDEX(LiquidFuels,S15)</f>
        <v>Diesel</v>
      </c>
      <c r="J15" s="134">
        <v>1</v>
      </c>
      <c r="K15" s="137" t="str">
        <f ca="1">INDIRECT("'Lookup Tables'!B"&amp;35+T15) &amp;""</f>
        <v>kg/h</v>
      </c>
      <c r="L15" s="167"/>
      <c r="M15" s="177" t="str">
        <f ca="1">INDIRECT("'Lookup Tables'!B"&amp;68+W15) &amp;""</f>
        <v>mmscf/y</v>
      </c>
      <c r="O15" s="133">
        <v>2</v>
      </c>
      <c r="P15" s="133">
        <v>1</v>
      </c>
      <c r="Q15" s="133">
        <f t="shared" ca="1" si="2"/>
        <v>0</v>
      </c>
      <c r="R15" s="133" t="str" cm="1">
        <f t="array" aca="1" ref="R15" ca="1">INDIRECT("'Lookup Tables'!C"&amp;35+P15) &amp;""</f>
        <v>tonne/y</v>
      </c>
      <c r="S15" s="133">
        <v>5</v>
      </c>
      <c r="T15" s="133">
        <v>1</v>
      </c>
      <c r="U15" s="133">
        <f t="shared" ca="1" si="3"/>
        <v>8.76</v>
      </c>
      <c r="V15" s="133" t="str" cm="1">
        <f t="array" aca="1" ref="V15" ca="1">INDIRECT("'Lookup Tables'!C"&amp;35+T15) &amp;""</f>
        <v>tonne/y</v>
      </c>
      <c r="W15" s="133">
        <v>3</v>
      </c>
      <c r="X15" s="133">
        <f ca="1">(INDIRECT("'Lookup Tables'!D"&amp;68+W15) &amp;"") *L15*24</f>
        <v>0</v>
      </c>
      <c r="Y15" s="247" t="s">
        <v>1222</v>
      </c>
    </row>
    <row r="16" spans="1:25" ht="15.65" customHeight="1" x14ac:dyDescent="0.35">
      <c r="B16" s="352"/>
      <c r="C16" s="362"/>
      <c r="D16" s="363"/>
      <c r="E16" s="363"/>
      <c r="F16" s="176" t="str" cm="1">
        <f t="array" aca="1" ref="F16" ca="1">INDEX(SolidFuels,O16)</f>
        <v>Anthracite</v>
      </c>
      <c r="G16" s="167"/>
      <c r="H16" s="136" t="str">
        <f t="shared" ca="1" si="1"/>
        <v>kg/h</v>
      </c>
      <c r="I16" s="138" t="str" cm="1">
        <f t="array" aca="1" ref="I16" ca="1">INDEX(LiquidFuels,S16)</f>
        <v>Diesel</v>
      </c>
      <c r="J16" s="134">
        <v>1</v>
      </c>
      <c r="K16" s="137" t="str">
        <f ca="1">INDIRECT("'Lookup Tables'!B"&amp;35+T16) &amp;""</f>
        <v>kg/h</v>
      </c>
      <c r="O16" s="133">
        <v>2</v>
      </c>
      <c r="P16" s="133">
        <v>1</v>
      </c>
      <c r="Q16" s="133">
        <f t="shared" ca="1" si="2"/>
        <v>0</v>
      </c>
      <c r="R16" s="133" t="str" cm="1">
        <f t="array" aca="1" ref="R16" ca="1">INDIRECT("'Lookup Tables'!C"&amp;35+P16) &amp;""</f>
        <v>tonne/y</v>
      </c>
      <c r="S16" s="133">
        <v>5</v>
      </c>
      <c r="T16" s="133">
        <v>1</v>
      </c>
      <c r="U16" s="133">
        <f t="shared" ca="1" si="3"/>
        <v>8.76</v>
      </c>
      <c r="V16" s="133" t="str" cm="1">
        <f t="array" aca="1" ref="V16" ca="1">INDIRECT("'Lookup Tables'!C"&amp;35+T16) &amp;""</f>
        <v>tonne/y</v>
      </c>
    </row>
    <row r="17" spans="2:24" ht="15.65" customHeight="1" x14ac:dyDescent="0.35">
      <c r="B17" s="353"/>
      <c r="C17" s="364"/>
      <c r="D17" s="365"/>
      <c r="E17" s="365"/>
      <c r="F17" s="176" t="str" cm="1">
        <f t="array" aca="1" ref="F17" ca="1">INDEX(SolidFuels,O17)</f>
        <v>Anthracite</v>
      </c>
      <c r="G17" s="167"/>
      <c r="H17" s="136" t="str">
        <f t="shared" ca="1" si="1"/>
        <v>kg/h</v>
      </c>
      <c r="I17" s="138" t="str" cm="1">
        <f t="array" aca="1" ref="I17" ca="1">INDEX(LiquidFuels,S17)</f>
        <v>Diesel</v>
      </c>
      <c r="J17" s="134">
        <v>1</v>
      </c>
      <c r="K17" s="137" t="str">
        <f ca="1">INDIRECT("'Lookup Tables'!B"&amp;35+T17) &amp;""</f>
        <v>kg/h</v>
      </c>
      <c r="O17" s="133">
        <v>2</v>
      </c>
      <c r="P17" s="133">
        <v>1</v>
      </c>
      <c r="Q17" s="133">
        <f t="shared" ca="1" si="2"/>
        <v>0</v>
      </c>
      <c r="R17" s="133" t="str" cm="1">
        <f t="array" aca="1" ref="R17" ca="1">INDIRECT("'Lookup Tables'!C"&amp;35+P17) &amp;""</f>
        <v>tonne/y</v>
      </c>
      <c r="S17" s="133">
        <v>5</v>
      </c>
      <c r="T17" s="133">
        <v>1</v>
      </c>
      <c r="U17" s="133">
        <f t="shared" ca="1" si="3"/>
        <v>8.76</v>
      </c>
      <c r="V17" s="133" t="str" cm="1">
        <f t="array" aca="1" ref="V17" ca="1">INDIRECT("'Lookup Tables'!C"&amp;35+T17) &amp;""</f>
        <v>tonne/y</v>
      </c>
    </row>
    <row r="18" spans="2:24" x14ac:dyDescent="0.35">
      <c r="M18" s="133"/>
    </row>
    <row r="20" spans="2:24" ht="25" x14ac:dyDescent="0.35">
      <c r="B20" s="331" t="str">
        <f ca="1">'Translation Table'!H96</f>
        <v>FUGITIVE EMISSIONS INPUT DATA (IPCC)</v>
      </c>
      <c r="C20" s="322"/>
      <c r="D20" s="322"/>
      <c r="E20" s="322"/>
      <c r="F20" s="322"/>
    </row>
    <row r="21" spans="2:24" s="85" customFormat="1" ht="17.149999999999999" customHeight="1" x14ac:dyDescent="0.35">
      <c r="B21" s="329" t="str">
        <f ca="1">'Translation Table'!H97</f>
        <v>Industry Segment</v>
      </c>
      <c r="C21" s="325" t="str">
        <f ca="1">'Translation Table'!H98</f>
        <v>Sub-segment</v>
      </c>
      <c r="D21" s="369"/>
      <c r="E21" s="369"/>
      <c r="F21" s="341" t="str">
        <f ca="1">'Translation Table'!H99</f>
        <v>Type of Activity Parameter</v>
      </c>
      <c r="G21" s="341" t="str">
        <f ca="1">'Translation Table'!H100</f>
        <v>Value</v>
      </c>
      <c r="H21" s="329" t="str">
        <f ca="1">'Translation Table'!H101</f>
        <v>Units of Measure</v>
      </c>
      <c r="I21" s="341" t="str">
        <f ca="1">'Translation Table'!H102</f>
        <v>Pollutant</v>
      </c>
      <c r="J21" s="341" t="str">
        <f ca="1">'Translation Table'!H103</f>
        <v>Emission Factor Selection</v>
      </c>
      <c r="K21" s="342"/>
      <c r="L21" s="342"/>
      <c r="M21" s="342"/>
      <c r="O21" s="40"/>
      <c r="P21" s="40"/>
      <c r="Q21" s="40"/>
      <c r="R21" s="40"/>
      <c r="S21" s="40"/>
      <c r="T21" s="40"/>
      <c r="U21" s="40"/>
      <c r="V21" s="40"/>
      <c r="W21" s="40"/>
      <c r="X21" s="40"/>
    </row>
    <row r="22" spans="2:24" s="85" customFormat="1" ht="16.149999999999999" customHeight="1" x14ac:dyDescent="0.35">
      <c r="B22" s="330"/>
      <c r="C22" s="369"/>
      <c r="D22" s="369"/>
      <c r="E22" s="369"/>
      <c r="F22" s="342"/>
      <c r="G22" s="342"/>
      <c r="H22" s="368"/>
      <c r="I22" s="342"/>
      <c r="J22" s="211" t="str">
        <f ca="1">'Translation Table'!H104</f>
        <v>Tier 1</v>
      </c>
      <c r="K22" s="211" t="str">
        <f ca="1">'Translation Table'!H105</f>
        <v>Tier 2</v>
      </c>
      <c r="L22" s="211" t="str">
        <f ca="1">'Translation Table'!H106</f>
        <v>Applied</v>
      </c>
      <c r="M22" s="211" t="str">
        <f ca="1">'Translation Table'!H107</f>
        <v>Units of Measure</v>
      </c>
      <c r="O22" s="40"/>
      <c r="P22" s="40"/>
      <c r="Q22" s="40"/>
      <c r="R22" s="40"/>
      <c r="S22" s="40"/>
      <c r="T22" s="40"/>
      <c r="U22" s="40"/>
      <c r="V22" s="40"/>
      <c r="W22" s="40"/>
      <c r="X22" s="40"/>
    </row>
    <row r="23" spans="2:24" ht="16.149999999999999" customHeight="1" x14ac:dyDescent="0.35">
      <c r="B23" s="332" t="str">
        <f ca="1">'Translation Table'!H115</f>
        <v>Oil Exploration</v>
      </c>
      <c r="C23" s="316" t="str">
        <f ca="1">'Translation Table'!H130</f>
        <v>Onshore unconventional without flaring or recovery</v>
      </c>
      <c r="D23" s="316"/>
      <c r="E23" s="316"/>
      <c r="F23" s="332" t="str">
        <f ca="1">'Translation Table'!H185</f>
        <v>Unconventional onshore oil wells drilled in a year, without flaring or recovery</v>
      </c>
      <c r="G23" s="318"/>
      <c r="H23" s="217" t="str">
        <f ca="1">H24</f>
        <v>Well Count</v>
      </c>
      <c r="I23" s="216" t="str">
        <f ca="1">'Translation Table'!H108</f>
        <v>CH4</v>
      </c>
      <c r="J23" s="116">
        <v>6.63</v>
      </c>
      <c r="K23" s="135"/>
      <c r="L23" s="116">
        <f t="shared" ref="L23:L86" si="4">IF(OR(K23="",K23="NA"),J23,K23)</f>
        <v>6.63</v>
      </c>
      <c r="M23" s="116" t="s">
        <v>1110</v>
      </c>
      <c r="Q23" s="133">
        <f>G23</f>
        <v>0</v>
      </c>
    </row>
    <row r="24" spans="2:24" ht="16.149999999999999" customHeight="1" x14ac:dyDescent="0.35">
      <c r="B24" s="332"/>
      <c r="C24" s="316"/>
      <c r="D24" s="316"/>
      <c r="E24" s="316"/>
      <c r="F24" s="332"/>
      <c r="G24" s="318"/>
      <c r="H24" s="218" t="str">
        <f ca="1">'Translation Table'!H269</f>
        <v>Well Count</v>
      </c>
      <c r="I24" s="216" t="str">
        <f ca="1">'Translation Table'!H109</f>
        <v>CO2</v>
      </c>
      <c r="J24" s="116">
        <v>14.35</v>
      </c>
      <c r="K24" s="135"/>
      <c r="L24" s="116">
        <f t="shared" si="4"/>
        <v>14.35</v>
      </c>
      <c r="M24" s="116" t="s">
        <v>1110</v>
      </c>
    </row>
    <row r="25" spans="2:24" ht="16.149999999999999" customHeight="1" x14ac:dyDescent="0.35">
      <c r="B25" s="332"/>
      <c r="C25" s="316"/>
      <c r="D25" s="316"/>
      <c r="E25" s="316"/>
      <c r="F25" s="332"/>
      <c r="G25" s="318"/>
      <c r="H25" s="218"/>
      <c r="I25" s="216" t="str">
        <f ca="1">'Translation Table'!H110</f>
        <v>N2O</v>
      </c>
      <c r="J25" s="116" t="s">
        <v>1015</v>
      </c>
      <c r="K25" s="135"/>
      <c r="L25" s="116" t="str">
        <f t="shared" si="4"/>
        <v>NA</v>
      </c>
      <c r="M25" s="116" t="s">
        <v>1110</v>
      </c>
    </row>
    <row r="26" spans="2:24" ht="16.149999999999999" customHeight="1" x14ac:dyDescent="0.35">
      <c r="B26" s="332"/>
      <c r="C26" s="316"/>
      <c r="D26" s="316"/>
      <c r="E26" s="316"/>
      <c r="F26" s="332"/>
      <c r="G26" s="318"/>
      <c r="H26" s="218"/>
      <c r="I26" s="216" t="str">
        <f ca="1">'Translation Table'!H111</f>
        <v>NOx</v>
      </c>
      <c r="J26" s="116" t="s">
        <v>1015</v>
      </c>
      <c r="K26" s="135"/>
      <c r="L26" s="116" t="str">
        <f t="shared" si="4"/>
        <v>NA</v>
      </c>
      <c r="M26" s="116" t="s">
        <v>1110</v>
      </c>
    </row>
    <row r="27" spans="2:24" ht="16.149999999999999" customHeight="1" x14ac:dyDescent="0.35">
      <c r="B27" s="332"/>
      <c r="C27" s="316"/>
      <c r="D27" s="316"/>
      <c r="E27" s="316"/>
      <c r="F27" s="332"/>
      <c r="G27" s="318"/>
      <c r="H27" s="218"/>
      <c r="I27" s="216" t="str">
        <f ca="1">'Translation Table'!H112</f>
        <v>CO</v>
      </c>
      <c r="J27" s="116" t="s">
        <v>1015</v>
      </c>
      <c r="K27" s="135"/>
      <c r="L27" s="116" t="str">
        <f t="shared" si="4"/>
        <v>NA</v>
      </c>
      <c r="M27" s="116" t="s">
        <v>1110</v>
      </c>
    </row>
    <row r="28" spans="2:24" ht="16.149999999999999" customHeight="1" x14ac:dyDescent="0.35">
      <c r="B28" s="332"/>
      <c r="C28" s="316"/>
      <c r="D28" s="316"/>
      <c r="E28" s="316"/>
      <c r="F28" s="332"/>
      <c r="G28" s="318"/>
      <c r="H28" s="219"/>
      <c r="I28" s="216" t="str">
        <f ca="1">'Translation Table'!H113</f>
        <v>NMVOC</v>
      </c>
      <c r="J28" s="116">
        <v>0.99</v>
      </c>
      <c r="K28" s="135"/>
      <c r="L28" s="116">
        <f t="shared" si="4"/>
        <v>0.99</v>
      </c>
      <c r="M28" s="116" t="s">
        <v>1110</v>
      </c>
    </row>
    <row r="29" spans="2:24" ht="16.149999999999999" customHeight="1" x14ac:dyDescent="0.35">
      <c r="B29" s="332"/>
      <c r="C29" s="316"/>
      <c r="D29" s="316"/>
      <c r="E29" s="316"/>
      <c r="F29" s="332"/>
      <c r="G29" s="318"/>
      <c r="H29" s="221"/>
      <c r="I29" s="216" t="str">
        <f ca="1">'Translation Table'!H114</f>
        <v>SO2</v>
      </c>
      <c r="J29" s="116" t="s">
        <v>1015</v>
      </c>
      <c r="K29" s="135"/>
      <c r="L29" s="116" t="str">
        <f t="shared" si="4"/>
        <v>NA</v>
      </c>
      <c r="M29" s="116" t="s">
        <v>1110</v>
      </c>
    </row>
    <row r="30" spans="2:24" ht="16.149999999999999" customHeight="1" x14ac:dyDescent="0.35">
      <c r="B30" s="332"/>
      <c r="C30" s="316"/>
      <c r="D30" s="316"/>
      <c r="E30" s="316"/>
      <c r="F30" s="332" t="str">
        <f ca="1">'Translation Table'!H186</f>
        <v>Total unconventional onshore oil well population where exploration occurs without flaring or recovery</v>
      </c>
      <c r="G30" s="318"/>
      <c r="H30" s="217" t="str">
        <f ca="1">H31</f>
        <v>Well Count</v>
      </c>
      <c r="I30" s="216" t="str">
        <f ca="1">'Translation Table'!H108</f>
        <v>CH4</v>
      </c>
      <c r="J30" s="116">
        <v>0.46</v>
      </c>
      <c r="K30" s="135"/>
      <c r="L30" s="116">
        <f t="shared" si="4"/>
        <v>0.46</v>
      </c>
      <c r="M30" s="116" t="s">
        <v>1110</v>
      </c>
      <c r="Q30" s="133">
        <f>G30</f>
        <v>0</v>
      </c>
    </row>
    <row r="31" spans="2:24" ht="16.149999999999999" customHeight="1" x14ac:dyDescent="0.35">
      <c r="B31" s="332"/>
      <c r="C31" s="316"/>
      <c r="D31" s="316"/>
      <c r="E31" s="316"/>
      <c r="F31" s="332"/>
      <c r="G31" s="318"/>
      <c r="H31" s="219" t="str">
        <f ca="1">'Translation Table'!H269</f>
        <v>Well Count</v>
      </c>
      <c r="I31" s="216" t="str">
        <f ca="1">'Translation Table'!H109</f>
        <v>CO2</v>
      </c>
      <c r="J31" s="116">
        <v>0.97</v>
      </c>
      <c r="K31" s="135"/>
      <c r="L31" s="116">
        <f t="shared" si="4"/>
        <v>0.97</v>
      </c>
      <c r="M31" s="116" t="s">
        <v>1110</v>
      </c>
    </row>
    <row r="32" spans="2:24" ht="16.149999999999999" customHeight="1" x14ac:dyDescent="0.35">
      <c r="B32" s="332"/>
      <c r="C32" s="316"/>
      <c r="D32" s="316"/>
      <c r="E32" s="316"/>
      <c r="F32" s="332"/>
      <c r="G32" s="318"/>
      <c r="H32" s="219"/>
      <c r="I32" s="216" t="str">
        <f ca="1">'Translation Table'!H110</f>
        <v>N2O</v>
      </c>
      <c r="J32" s="116" t="s">
        <v>1015</v>
      </c>
      <c r="K32" s="135"/>
      <c r="L32" s="116" t="str">
        <f t="shared" si="4"/>
        <v>NA</v>
      </c>
      <c r="M32" s="116" t="s">
        <v>1110</v>
      </c>
    </row>
    <row r="33" spans="2:17" ht="16.149999999999999" customHeight="1" x14ac:dyDescent="0.35">
      <c r="B33" s="332"/>
      <c r="C33" s="316"/>
      <c r="D33" s="316"/>
      <c r="E33" s="316"/>
      <c r="F33" s="332"/>
      <c r="G33" s="318"/>
      <c r="H33" s="219"/>
      <c r="I33" s="216" t="str">
        <f ca="1">'Translation Table'!H111</f>
        <v>NOx</v>
      </c>
      <c r="J33" s="116" t="s">
        <v>1015</v>
      </c>
      <c r="K33" s="135"/>
      <c r="L33" s="116" t="str">
        <f t="shared" si="4"/>
        <v>NA</v>
      </c>
      <c r="M33" s="116" t="s">
        <v>1110</v>
      </c>
    </row>
    <row r="34" spans="2:17" ht="16.149999999999999" customHeight="1" x14ac:dyDescent="0.35">
      <c r="B34" s="332"/>
      <c r="C34" s="316"/>
      <c r="D34" s="316"/>
      <c r="E34" s="316"/>
      <c r="F34" s="332"/>
      <c r="G34" s="318"/>
      <c r="H34" s="219"/>
      <c r="I34" s="216" t="str">
        <f ca="1">'Translation Table'!H112</f>
        <v>CO</v>
      </c>
      <c r="J34" s="116" t="s">
        <v>1015</v>
      </c>
      <c r="K34" s="135"/>
      <c r="L34" s="116" t="str">
        <f t="shared" si="4"/>
        <v>NA</v>
      </c>
      <c r="M34" s="116" t="s">
        <v>1110</v>
      </c>
    </row>
    <row r="35" spans="2:17" ht="16.149999999999999" customHeight="1" x14ac:dyDescent="0.35">
      <c r="B35" s="332"/>
      <c r="C35" s="316"/>
      <c r="D35" s="316"/>
      <c r="E35" s="316"/>
      <c r="F35" s="332"/>
      <c r="G35" s="318"/>
      <c r="H35" s="219"/>
      <c r="I35" s="216" t="str">
        <f ca="1">'Translation Table'!H113</f>
        <v>NMVOC</v>
      </c>
      <c r="J35" s="116">
        <v>7.0000000000000007E-2</v>
      </c>
      <c r="K35" s="135"/>
      <c r="L35" s="116">
        <f t="shared" si="4"/>
        <v>7.0000000000000007E-2</v>
      </c>
      <c r="M35" s="116" t="s">
        <v>1110</v>
      </c>
    </row>
    <row r="36" spans="2:17" ht="16.149999999999999" customHeight="1" x14ac:dyDescent="0.35">
      <c r="B36" s="332"/>
      <c r="C36" s="316"/>
      <c r="D36" s="316"/>
      <c r="E36" s="316"/>
      <c r="F36" s="332"/>
      <c r="G36" s="318"/>
      <c r="H36" s="222"/>
      <c r="I36" s="216" t="str">
        <f ca="1">'Translation Table'!H114</f>
        <v>SO2</v>
      </c>
      <c r="J36" s="116" t="s">
        <v>1015</v>
      </c>
      <c r="K36" s="135"/>
      <c r="L36" s="116" t="str">
        <f t="shared" si="4"/>
        <v>NA</v>
      </c>
      <c r="M36" s="116" t="s">
        <v>1110</v>
      </c>
    </row>
    <row r="37" spans="2:17" ht="16.149999999999999" customHeight="1" x14ac:dyDescent="0.35">
      <c r="B37" s="332"/>
      <c r="C37" s="316"/>
      <c r="D37" s="316"/>
      <c r="E37" s="316"/>
      <c r="F37" s="332" t="str">
        <f ca="1">'Translation Table'!H187</f>
        <v>Onshore unconventional onshore oil production where exploration occurs without flaring or recovery</v>
      </c>
      <c r="G37" s="318"/>
      <c r="H37" s="223" t="str">
        <f ca="1">INDIRECT("'Lookup Tables'!B"&amp;74+P37) &amp;""</f>
        <v>E+03 m^3/y</v>
      </c>
      <c r="I37" s="216" t="str">
        <f ca="1">'Translation Table'!H108</f>
        <v>CH4</v>
      </c>
      <c r="J37" s="116">
        <v>1.64</v>
      </c>
      <c r="K37" s="135"/>
      <c r="L37" s="116">
        <f t="shared" si="4"/>
        <v>1.64</v>
      </c>
      <c r="M37" s="116" t="s">
        <v>1032</v>
      </c>
      <c r="N37" s="121"/>
      <c r="P37" s="133">
        <v>3</v>
      </c>
      <c r="Q37" s="133">
        <f ca="1">(INDIRECT("'Lookup Tables'!D"&amp;74+P37) &amp;"")*G37</f>
        <v>0</v>
      </c>
    </row>
    <row r="38" spans="2:17" ht="16.149999999999999" customHeight="1" x14ac:dyDescent="0.35">
      <c r="B38" s="332"/>
      <c r="C38" s="316"/>
      <c r="D38" s="316"/>
      <c r="E38" s="316"/>
      <c r="F38" s="332"/>
      <c r="G38" s="318"/>
      <c r="H38" s="224"/>
      <c r="I38" s="216" t="str">
        <f ca="1">'Translation Table'!H109</f>
        <v>CO2</v>
      </c>
      <c r="J38" s="116">
        <v>3.49</v>
      </c>
      <c r="K38" s="135"/>
      <c r="L38" s="116">
        <f t="shared" si="4"/>
        <v>3.49</v>
      </c>
      <c r="M38" s="116" t="s">
        <v>1032</v>
      </c>
      <c r="N38" s="121"/>
    </row>
    <row r="39" spans="2:17" ht="16.149999999999999" customHeight="1" x14ac:dyDescent="0.35">
      <c r="B39" s="332"/>
      <c r="C39" s="316"/>
      <c r="D39" s="316"/>
      <c r="E39" s="316"/>
      <c r="F39" s="332"/>
      <c r="G39" s="318"/>
      <c r="H39" s="224"/>
      <c r="I39" s="216" t="str">
        <f ca="1">'Translation Table'!H110</f>
        <v>N2O</v>
      </c>
      <c r="J39" s="116" t="s">
        <v>1015</v>
      </c>
      <c r="K39" s="135"/>
      <c r="L39" s="116" t="str">
        <f t="shared" si="4"/>
        <v>NA</v>
      </c>
      <c r="M39" s="116" t="s">
        <v>1032</v>
      </c>
      <c r="N39" s="121"/>
    </row>
    <row r="40" spans="2:17" ht="16.149999999999999" customHeight="1" x14ac:dyDescent="0.35">
      <c r="B40" s="332"/>
      <c r="C40" s="316"/>
      <c r="D40" s="316"/>
      <c r="E40" s="316"/>
      <c r="F40" s="332"/>
      <c r="G40" s="318"/>
      <c r="H40" s="224"/>
      <c r="I40" s="216" t="str">
        <f ca="1">'Translation Table'!H111</f>
        <v>NOx</v>
      </c>
      <c r="J40" s="116" t="s">
        <v>1015</v>
      </c>
      <c r="K40" s="135"/>
      <c r="L40" s="116" t="str">
        <f t="shared" si="4"/>
        <v>NA</v>
      </c>
      <c r="M40" s="116" t="s">
        <v>1032</v>
      </c>
      <c r="N40" s="121"/>
    </row>
    <row r="41" spans="2:17" ht="16.149999999999999" customHeight="1" x14ac:dyDescent="0.35">
      <c r="B41" s="332"/>
      <c r="C41" s="316"/>
      <c r="D41" s="316"/>
      <c r="E41" s="316"/>
      <c r="F41" s="332"/>
      <c r="G41" s="318"/>
      <c r="H41" s="224"/>
      <c r="I41" s="216" t="str">
        <f ca="1">'Translation Table'!H112</f>
        <v>CO</v>
      </c>
      <c r="J41" s="116" t="s">
        <v>1015</v>
      </c>
      <c r="K41" s="135"/>
      <c r="L41" s="116" t="str">
        <f t="shared" si="4"/>
        <v>NA</v>
      </c>
      <c r="M41" s="116" t="s">
        <v>1032</v>
      </c>
      <c r="N41" s="121"/>
    </row>
    <row r="42" spans="2:17" ht="16.149999999999999" customHeight="1" x14ac:dyDescent="0.35">
      <c r="B42" s="332"/>
      <c r="C42" s="316"/>
      <c r="D42" s="316"/>
      <c r="E42" s="316"/>
      <c r="F42" s="332"/>
      <c r="G42" s="318"/>
      <c r="H42" s="225"/>
      <c r="I42" s="216" t="str">
        <f ca="1">'Translation Table'!H113</f>
        <v>NMVOC</v>
      </c>
      <c r="J42" s="116">
        <v>0.25</v>
      </c>
      <c r="K42" s="135"/>
      <c r="L42" s="116">
        <f t="shared" si="4"/>
        <v>0.25</v>
      </c>
      <c r="M42" s="116" t="s">
        <v>1032</v>
      </c>
      <c r="N42" s="121"/>
    </row>
    <row r="43" spans="2:17" ht="16.149999999999999" customHeight="1" x14ac:dyDescent="0.35">
      <c r="B43" s="332"/>
      <c r="C43" s="316"/>
      <c r="D43" s="316"/>
      <c r="E43" s="316"/>
      <c r="F43" s="332"/>
      <c r="G43" s="318"/>
      <c r="H43" s="226"/>
      <c r="I43" s="216" t="str">
        <f ca="1">'Translation Table'!H114</f>
        <v>SO2</v>
      </c>
      <c r="J43" s="116" t="s">
        <v>1015</v>
      </c>
      <c r="K43" s="135"/>
      <c r="L43" s="116" t="str">
        <f t="shared" si="4"/>
        <v>NA</v>
      </c>
      <c r="M43" s="116" t="s">
        <v>1032</v>
      </c>
      <c r="N43" s="121"/>
    </row>
    <row r="44" spans="2:17" ht="16.149999999999999" customHeight="1" x14ac:dyDescent="0.35">
      <c r="B44" s="332"/>
      <c r="C44" s="316" t="str">
        <f ca="1">'Translation Table'!H131</f>
        <v>Onshore unconventional with flaring or recovery</v>
      </c>
      <c r="D44" s="316"/>
      <c r="E44" s="316"/>
      <c r="F44" s="317" t="str">
        <f ca="1">'Translation Table'!H188</f>
        <v>Unconventional onshore oil wells drilled in a year, with flaring or recovery</v>
      </c>
      <c r="G44" s="318"/>
      <c r="H44" s="217" t="str">
        <f ca="1">H45</f>
        <v>Well Count</v>
      </c>
      <c r="I44" s="216" t="str">
        <f ca="1">'Translation Table'!H108</f>
        <v>CH4</v>
      </c>
      <c r="J44" s="116">
        <v>0.81</v>
      </c>
      <c r="K44" s="135"/>
      <c r="L44" s="116">
        <f t="shared" si="4"/>
        <v>0.81</v>
      </c>
      <c r="M44" s="116" t="s">
        <v>1110</v>
      </c>
      <c r="N44" s="121"/>
      <c r="Q44" s="133">
        <f>G44</f>
        <v>0</v>
      </c>
    </row>
    <row r="45" spans="2:17" ht="16.149999999999999" customHeight="1" x14ac:dyDescent="0.35">
      <c r="B45" s="332"/>
      <c r="C45" s="316"/>
      <c r="D45" s="316"/>
      <c r="E45" s="316"/>
      <c r="F45" s="317"/>
      <c r="G45" s="318"/>
      <c r="H45" s="219" t="str">
        <f ca="1">'Translation Table'!H269</f>
        <v>Well Count</v>
      </c>
      <c r="I45" s="216" t="str">
        <f ca="1">'Translation Table'!H109</f>
        <v>CO2</v>
      </c>
      <c r="J45" s="116">
        <v>11.25</v>
      </c>
      <c r="K45" s="135"/>
      <c r="L45" s="116">
        <f t="shared" si="4"/>
        <v>11.25</v>
      </c>
      <c r="M45" s="116" t="s">
        <v>1110</v>
      </c>
    </row>
    <row r="46" spans="2:17" ht="16.149999999999999" customHeight="1" x14ac:dyDescent="0.35">
      <c r="B46" s="332"/>
      <c r="C46" s="316"/>
      <c r="D46" s="316"/>
      <c r="E46" s="316"/>
      <c r="F46" s="317"/>
      <c r="G46" s="318"/>
      <c r="H46" s="219"/>
      <c r="I46" s="216" t="str">
        <f ca="1">'Translation Table'!H110</f>
        <v>N2O</v>
      </c>
      <c r="J46" s="116">
        <v>8.2000000000000001E-5</v>
      </c>
      <c r="K46" s="135"/>
      <c r="L46" s="116">
        <f t="shared" si="4"/>
        <v>8.2000000000000001E-5</v>
      </c>
      <c r="M46" s="116" t="s">
        <v>1110</v>
      </c>
    </row>
    <row r="47" spans="2:17" ht="16.149999999999999" customHeight="1" x14ac:dyDescent="0.35">
      <c r="B47" s="332"/>
      <c r="C47" s="316"/>
      <c r="D47" s="316"/>
      <c r="E47" s="316"/>
      <c r="F47" s="317"/>
      <c r="G47" s="318"/>
      <c r="H47" s="219"/>
      <c r="I47" s="216" t="str">
        <f ca="1">'Translation Table'!H111</f>
        <v>NOx</v>
      </c>
      <c r="J47" s="116" t="s">
        <v>1015</v>
      </c>
      <c r="K47" s="135"/>
      <c r="L47" s="116" t="str">
        <f t="shared" si="4"/>
        <v>NA</v>
      </c>
      <c r="M47" s="116" t="s">
        <v>1110</v>
      </c>
    </row>
    <row r="48" spans="2:17" ht="16.149999999999999" customHeight="1" x14ac:dyDescent="0.35">
      <c r="B48" s="332"/>
      <c r="C48" s="316"/>
      <c r="D48" s="316"/>
      <c r="E48" s="316"/>
      <c r="F48" s="317"/>
      <c r="G48" s="318"/>
      <c r="H48" s="219"/>
      <c r="I48" s="216" t="str">
        <f ca="1">'Translation Table'!H112</f>
        <v>CO</v>
      </c>
      <c r="J48" s="116" t="s">
        <v>1015</v>
      </c>
      <c r="K48" s="135"/>
      <c r="L48" s="116" t="str">
        <f t="shared" si="4"/>
        <v>NA</v>
      </c>
      <c r="M48" s="116" t="s">
        <v>1110</v>
      </c>
    </row>
    <row r="49" spans="2:17" ht="16.149999999999999" customHeight="1" x14ac:dyDescent="0.35">
      <c r="B49" s="332"/>
      <c r="C49" s="316"/>
      <c r="D49" s="316"/>
      <c r="E49" s="316"/>
      <c r="F49" s="317"/>
      <c r="G49" s="318"/>
      <c r="H49" s="227"/>
      <c r="I49" s="216" t="str">
        <f ca="1">'Translation Table'!H113</f>
        <v>NMVOC</v>
      </c>
      <c r="J49" s="116">
        <v>0.12</v>
      </c>
      <c r="K49" s="135"/>
      <c r="L49" s="116">
        <f t="shared" si="4"/>
        <v>0.12</v>
      </c>
      <c r="M49" s="116" t="s">
        <v>1110</v>
      </c>
    </row>
    <row r="50" spans="2:17" ht="16.149999999999999" customHeight="1" x14ac:dyDescent="0.35">
      <c r="B50" s="332"/>
      <c r="C50" s="316"/>
      <c r="D50" s="316"/>
      <c r="E50" s="316"/>
      <c r="F50" s="317"/>
      <c r="G50" s="318"/>
      <c r="H50" s="222"/>
      <c r="I50" s="216" t="str">
        <f ca="1">'Translation Table'!H114</f>
        <v>SO2</v>
      </c>
      <c r="J50" s="116" t="s">
        <v>1015</v>
      </c>
      <c r="K50" s="135"/>
      <c r="L50" s="116" t="str">
        <f t="shared" si="4"/>
        <v>NA</v>
      </c>
      <c r="M50" s="116" t="s">
        <v>1110</v>
      </c>
    </row>
    <row r="51" spans="2:17" ht="16.149999999999999" customHeight="1" x14ac:dyDescent="0.35">
      <c r="B51" s="332"/>
      <c r="C51" s="316"/>
      <c r="D51" s="316"/>
      <c r="E51" s="316"/>
      <c r="F51" s="317" t="str">
        <f ca="1">'Translation Table'!H189</f>
        <v>Total unconventional onshore oil well population where exploration occurs with flaring or recovery</v>
      </c>
      <c r="G51" s="318"/>
      <c r="H51" s="217" t="str">
        <f ca="1">H52</f>
        <v>Well Count</v>
      </c>
      <c r="I51" s="216" t="str">
        <f ca="1">'Translation Table'!H108</f>
        <v>CH4</v>
      </c>
      <c r="J51" s="116">
        <v>7.0000000000000007E-2</v>
      </c>
      <c r="K51" s="135"/>
      <c r="L51" s="116">
        <f t="shared" si="4"/>
        <v>7.0000000000000007E-2</v>
      </c>
      <c r="M51" s="116" t="s">
        <v>1110</v>
      </c>
      <c r="Q51" s="133">
        <f>G51</f>
        <v>0</v>
      </c>
    </row>
    <row r="52" spans="2:17" ht="16.149999999999999" customHeight="1" x14ac:dyDescent="0.35">
      <c r="B52" s="332"/>
      <c r="C52" s="316"/>
      <c r="D52" s="316"/>
      <c r="E52" s="316"/>
      <c r="F52" s="317"/>
      <c r="G52" s="318"/>
      <c r="H52" s="219" t="str">
        <f ca="1">'Translation Table'!H269</f>
        <v>Well Count</v>
      </c>
      <c r="I52" s="216" t="str">
        <f ca="1">'Translation Table'!H109</f>
        <v>CO2</v>
      </c>
      <c r="J52" s="116">
        <v>1.03</v>
      </c>
      <c r="K52" s="135"/>
      <c r="L52" s="116">
        <f t="shared" si="4"/>
        <v>1.03</v>
      </c>
      <c r="M52" s="116" t="s">
        <v>1110</v>
      </c>
    </row>
    <row r="53" spans="2:17" ht="16.149999999999999" customHeight="1" x14ac:dyDescent="0.35">
      <c r="B53" s="332"/>
      <c r="C53" s="316"/>
      <c r="D53" s="316"/>
      <c r="E53" s="316"/>
      <c r="F53" s="317"/>
      <c r="G53" s="318"/>
      <c r="H53" s="219"/>
      <c r="I53" s="216" t="str">
        <f ca="1">'Translation Table'!H110</f>
        <v>N2O</v>
      </c>
      <c r="J53" s="116">
        <v>7.5000000000000002E-6</v>
      </c>
      <c r="K53" s="135"/>
      <c r="L53" s="116">
        <f t="shared" si="4"/>
        <v>7.5000000000000002E-6</v>
      </c>
      <c r="M53" s="116" t="s">
        <v>1110</v>
      </c>
    </row>
    <row r="54" spans="2:17" ht="16.149999999999999" customHeight="1" x14ac:dyDescent="0.35">
      <c r="B54" s="332"/>
      <c r="C54" s="316"/>
      <c r="D54" s="316"/>
      <c r="E54" s="316"/>
      <c r="F54" s="317"/>
      <c r="G54" s="318"/>
      <c r="H54" s="219"/>
      <c r="I54" s="216" t="str">
        <f ca="1">'Translation Table'!H111</f>
        <v>NOx</v>
      </c>
      <c r="J54" s="116" t="s">
        <v>1015</v>
      </c>
      <c r="K54" s="135"/>
      <c r="L54" s="116" t="str">
        <f t="shared" si="4"/>
        <v>NA</v>
      </c>
      <c r="M54" s="116" t="s">
        <v>1110</v>
      </c>
    </row>
    <row r="55" spans="2:17" ht="16.149999999999999" customHeight="1" x14ac:dyDescent="0.35">
      <c r="B55" s="332"/>
      <c r="C55" s="316"/>
      <c r="D55" s="316"/>
      <c r="E55" s="316"/>
      <c r="F55" s="317"/>
      <c r="G55" s="318"/>
      <c r="H55" s="219"/>
      <c r="I55" s="216" t="str">
        <f ca="1">'Translation Table'!H112</f>
        <v>CO</v>
      </c>
      <c r="J55" s="116" t="s">
        <v>1015</v>
      </c>
      <c r="K55" s="135"/>
      <c r="L55" s="116" t="str">
        <f t="shared" si="4"/>
        <v>NA</v>
      </c>
      <c r="M55" s="116" t="s">
        <v>1110</v>
      </c>
    </row>
    <row r="56" spans="2:17" ht="16.149999999999999" customHeight="1" x14ac:dyDescent="0.35">
      <c r="B56" s="332"/>
      <c r="C56" s="316"/>
      <c r="D56" s="316"/>
      <c r="E56" s="316"/>
      <c r="F56" s="317"/>
      <c r="G56" s="318"/>
      <c r="H56" s="227"/>
      <c r="I56" s="216" t="str">
        <f ca="1">'Translation Table'!H113</f>
        <v>NMVOC</v>
      </c>
      <c r="J56" s="116">
        <v>0.01</v>
      </c>
      <c r="K56" s="135"/>
      <c r="L56" s="116">
        <f t="shared" si="4"/>
        <v>0.01</v>
      </c>
      <c r="M56" s="116" t="s">
        <v>1110</v>
      </c>
    </row>
    <row r="57" spans="2:17" ht="16.149999999999999" customHeight="1" x14ac:dyDescent="0.35">
      <c r="B57" s="332"/>
      <c r="C57" s="316"/>
      <c r="D57" s="316"/>
      <c r="E57" s="316"/>
      <c r="F57" s="317"/>
      <c r="G57" s="318"/>
      <c r="H57" s="222"/>
      <c r="I57" s="216" t="str">
        <f ca="1">'Translation Table'!H114</f>
        <v>SO2</v>
      </c>
      <c r="J57" s="116" t="s">
        <v>1015</v>
      </c>
      <c r="K57" s="135"/>
      <c r="L57" s="116" t="str">
        <f t="shared" si="4"/>
        <v>NA</v>
      </c>
      <c r="M57" s="116" t="s">
        <v>1110</v>
      </c>
    </row>
    <row r="58" spans="2:17" ht="16.149999999999999" customHeight="1" x14ac:dyDescent="0.35">
      <c r="B58" s="332"/>
      <c r="C58" s="316"/>
      <c r="D58" s="316"/>
      <c r="E58" s="316"/>
      <c r="F58" s="317" t="str">
        <f ca="1">'Translation Table'!H190</f>
        <v>Onshore unconventional oil production where exploration occurs with flaring or recovery</v>
      </c>
      <c r="G58" s="318"/>
      <c r="H58" s="223" t="str">
        <f ca="1">INDIRECT("'Lookup Tables'!B"&amp;74+P58) &amp;""</f>
        <v>E+03 m^3/y</v>
      </c>
      <c r="I58" s="216" t="str">
        <f ca="1">'Translation Table'!H108</f>
        <v>CH4</v>
      </c>
      <c r="J58" s="116">
        <v>0.06</v>
      </c>
      <c r="K58" s="135"/>
      <c r="L58" s="116">
        <f t="shared" si="4"/>
        <v>0.06</v>
      </c>
      <c r="M58" s="116" t="s">
        <v>1032</v>
      </c>
      <c r="P58" s="133">
        <v>3</v>
      </c>
      <c r="Q58" s="133">
        <f ca="1">(INDIRECT("'Lookup Tables'!D"&amp;74+P58) &amp;"")*G58</f>
        <v>0</v>
      </c>
    </row>
    <row r="59" spans="2:17" ht="16.149999999999999" customHeight="1" x14ac:dyDescent="0.35">
      <c r="B59" s="332"/>
      <c r="C59" s="316"/>
      <c r="D59" s="316"/>
      <c r="E59" s="316"/>
      <c r="F59" s="317"/>
      <c r="G59" s="318"/>
      <c r="H59" s="224"/>
      <c r="I59" s="216" t="str">
        <f ca="1">'Translation Table'!H109</f>
        <v>CO2</v>
      </c>
      <c r="J59" s="116">
        <v>0.86</v>
      </c>
      <c r="K59" s="135"/>
      <c r="L59" s="116">
        <f t="shared" si="4"/>
        <v>0.86</v>
      </c>
      <c r="M59" s="116" t="s">
        <v>1032</v>
      </c>
    </row>
    <row r="60" spans="2:17" ht="16.149999999999999" customHeight="1" x14ac:dyDescent="0.35">
      <c r="B60" s="332"/>
      <c r="C60" s="316"/>
      <c r="D60" s="316"/>
      <c r="E60" s="316"/>
      <c r="F60" s="317"/>
      <c r="G60" s="318"/>
      <c r="H60" s="224"/>
      <c r="I60" s="216" t="str">
        <f ca="1">'Translation Table'!H110</f>
        <v>N2O</v>
      </c>
      <c r="J60" s="116">
        <v>6.2999999999999998E-6</v>
      </c>
      <c r="K60" s="135"/>
      <c r="L60" s="116">
        <f t="shared" si="4"/>
        <v>6.2999999999999998E-6</v>
      </c>
      <c r="M60" s="116" t="s">
        <v>1032</v>
      </c>
    </row>
    <row r="61" spans="2:17" ht="16.149999999999999" customHeight="1" x14ac:dyDescent="0.35">
      <c r="B61" s="332"/>
      <c r="C61" s="316"/>
      <c r="D61" s="316"/>
      <c r="E61" s="316"/>
      <c r="F61" s="317"/>
      <c r="G61" s="318"/>
      <c r="H61" s="224"/>
      <c r="I61" s="216" t="str">
        <f ca="1">'Translation Table'!H111</f>
        <v>NOx</v>
      </c>
      <c r="J61" s="116" t="s">
        <v>1015</v>
      </c>
      <c r="K61" s="135"/>
      <c r="L61" s="116" t="str">
        <f t="shared" si="4"/>
        <v>NA</v>
      </c>
      <c r="M61" s="116" t="s">
        <v>1032</v>
      </c>
    </row>
    <row r="62" spans="2:17" ht="16.149999999999999" customHeight="1" x14ac:dyDescent="0.35">
      <c r="B62" s="332"/>
      <c r="C62" s="316"/>
      <c r="D62" s="316"/>
      <c r="E62" s="316"/>
      <c r="F62" s="317"/>
      <c r="G62" s="318"/>
      <c r="H62" s="224"/>
      <c r="I62" s="216" t="str">
        <f ca="1">'Translation Table'!H112</f>
        <v>CO</v>
      </c>
      <c r="J62" s="116" t="s">
        <v>1015</v>
      </c>
      <c r="K62" s="135"/>
      <c r="L62" s="116" t="str">
        <f t="shared" si="4"/>
        <v>NA</v>
      </c>
      <c r="M62" s="116" t="s">
        <v>1032</v>
      </c>
    </row>
    <row r="63" spans="2:17" ht="16.149999999999999" customHeight="1" x14ac:dyDescent="0.35">
      <c r="B63" s="332"/>
      <c r="C63" s="316"/>
      <c r="D63" s="316"/>
      <c r="E63" s="316"/>
      <c r="F63" s="317"/>
      <c r="G63" s="318"/>
      <c r="H63" s="227"/>
      <c r="I63" s="216" t="str">
        <f ca="1">'Translation Table'!H113</f>
        <v>NMVOC</v>
      </c>
      <c r="J63" s="116">
        <v>0.01</v>
      </c>
      <c r="K63" s="135"/>
      <c r="L63" s="116">
        <f t="shared" si="4"/>
        <v>0.01</v>
      </c>
      <c r="M63" s="116" t="s">
        <v>1032</v>
      </c>
    </row>
    <row r="64" spans="2:17" ht="16.149999999999999" customHeight="1" x14ac:dyDescent="0.35">
      <c r="B64" s="332"/>
      <c r="C64" s="316"/>
      <c r="D64" s="316"/>
      <c r="E64" s="316"/>
      <c r="F64" s="317"/>
      <c r="G64" s="318"/>
      <c r="H64" s="222"/>
      <c r="I64" s="216" t="str">
        <f ca="1">'Translation Table'!H114</f>
        <v>SO2</v>
      </c>
      <c r="J64" s="116" t="s">
        <v>1015</v>
      </c>
      <c r="K64" s="135"/>
      <c r="L64" s="116" t="str">
        <f t="shared" si="4"/>
        <v>NA</v>
      </c>
      <c r="M64" s="116" t="s">
        <v>1032</v>
      </c>
    </row>
    <row r="65" spans="2:17" ht="16.149999999999999" customHeight="1" x14ac:dyDescent="0.35">
      <c r="B65" s="332"/>
      <c r="C65" s="316" t="str">
        <f ca="1">'Translation Table'!H132</f>
        <v>Onshore Conventional</v>
      </c>
      <c r="D65" s="316"/>
      <c r="E65" s="316"/>
      <c r="F65" s="317" t="str">
        <f ca="1">'Translation Table'!H191</f>
        <v>Onshore conventional oil wells drilled in a year</v>
      </c>
      <c r="G65" s="318"/>
      <c r="H65" s="217" t="str">
        <f ca="1">H66</f>
        <v>Well Count</v>
      </c>
      <c r="I65" s="216" t="str">
        <f ca="1">'Translation Table'!H108</f>
        <v>CH4</v>
      </c>
      <c r="J65" s="116">
        <v>0.53</v>
      </c>
      <c r="K65" s="135"/>
      <c r="L65" s="116">
        <f t="shared" si="4"/>
        <v>0.53</v>
      </c>
      <c r="M65" s="116" t="s">
        <v>1110</v>
      </c>
      <c r="Q65" s="133">
        <f>G65</f>
        <v>0</v>
      </c>
    </row>
    <row r="66" spans="2:17" ht="16.149999999999999" customHeight="1" x14ac:dyDescent="0.35">
      <c r="B66" s="332"/>
      <c r="C66" s="316"/>
      <c r="D66" s="316"/>
      <c r="E66" s="316"/>
      <c r="F66" s="317"/>
      <c r="G66" s="318"/>
      <c r="H66" s="219" t="str">
        <f ca="1">'Translation Table'!H269</f>
        <v>Well Count</v>
      </c>
      <c r="I66" s="216" t="str">
        <f ca="1">'Translation Table'!H109</f>
        <v>CO2</v>
      </c>
      <c r="J66" s="116">
        <v>12.44</v>
      </c>
      <c r="K66" s="135"/>
      <c r="L66" s="116">
        <f t="shared" si="4"/>
        <v>12.44</v>
      </c>
      <c r="M66" s="116" t="s">
        <v>1110</v>
      </c>
    </row>
    <row r="67" spans="2:17" ht="16.149999999999999" customHeight="1" x14ac:dyDescent="0.35">
      <c r="B67" s="332"/>
      <c r="C67" s="316"/>
      <c r="D67" s="316"/>
      <c r="E67" s="316"/>
      <c r="F67" s="317"/>
      <c r="G67" s="318"/>
      <c r="H67" s="219"/>
      <c r="I67" s="216" t="str">
        <f ca="1">'Translation Table'!H110</f>
        <v>N2O</v>
      </c>
      <c r="J67" s="116">
        <v>9.0000000000000006E-5</v>
      </c>
      <c r="K67" s="135"/>
      <c r="L67" s="116">
        <f t="shared" si="4"/>
        <v>9.0000000000000006E-5</v>
      </c>
      <c r="M67" s="116" t="s">
        <v>1110</v>
      </c>
    </row>
    <row r="68" spans="2:17" ht="16.149999999999999" customHeight="1" x14ac:dyDescent="0.35">
      <c r="B68" s="332"/>
      <c r="C68" s="316"/>
      <c r="D68" s="316"/>
      <c r="E68" s="316"/>
      <c r="F68" s="317"/>
      <c r="G68" s="318"/>
      <c r="H68" s="219"/>
      <c r="I68" s="216" t="str">
        <f ca="1">'Translation Table'!H111</f>
        <v>NOx</v>
      </c>
      <c r="J68" s="116" t="s">
        <v>1015</v>
      </c>
      <c r="K68" s="135"/>
      <c r="L68" s="116" t="str">
        <f t="shared" si="4"/>
        <v>NA</v>
      </c>
      <c r="M68" s="116" t="s">
        <v>1110</v>
      </c>
    </row>
    <row r="69" spans="2:17" ht="16.149999999999999" customHeight="1" x14ac:dyDescent="0.35">
      <c r="B69" s="332"/>
      <c r="C69" s="316"/>
      <c r="D69" s="316"/>
      <c r="E69" s="316"/>
      <c r="F69" s="317"/>
      <c r="G69" s="318"/>
      <c r="H69" s="219"/>
      <c r="I69" s="216" t="str">
        <f ca="1">'Translation Table'!H112</f>
        <v>CO</v>
      </c>
      <c r="J69" s="116" t="s">
        <v>1015</v>
      </c>
      <c r="K69" s="135"/>
      <c r="L69" s="116" t="str">
        <f t="shared" si="4"/>
        <v>NA</v>
      </c>
      <c r="M69" s="116" t="s">
        <v>1110</v>
      </c>
    </row>
    <row r="70" spans="2:17" ht="16.149999999999999" customHeight="1" x14ac:dyDescent="0.35">
      <c r="B70" s="332"/>
      <c r="C70" s="316"/>
      <c r="D70" s="316"/>
      <c r="E70" s="316"/>
      <c r="F70" s="317"/>
      <c r="G70" s="318"/>
      <c r="H70" s="227"/>
      <c r="I70" s="216" t="str">
        <f ca="1">'Translation Table'!H113</f>
        <v>NMVOC</v>
      </c>
      <c r="J70" s="116">
        <v>0.08</v>
      </c>
      <c r="K70" s="135"/>
      <c r="L70" s="116">
        <f t="shared" si="4"/>
        <v>0.08</v>
      </c>
      <c r="M70" s="116" t="s">
        <v>1110</v>
      </c>
    </row>
    <row r="71" spans="2:17" ht="16.149999999999999" customHeight="1" x14ac:dyDescent="0.35">
      <c r="B71" s="332"/>
      <c r="C71" s="316"/>
      <c r="D71" s="316"/>
      <c r="E71" s="316"/>
      <c r="F71" s="317"/>
      <c r="G71" s="318"/>
      <c r="H71" s="222"/>
      <c r="I71" s="216" t="str">
        <f ca="1">'Translation Table'!H114</f>
        <v>SO2</v>
      </c>
      <c r="J71" s="116" t="s">
        <v>1015</v>
      </c>
      <c r="K71" s="135"/>
      <c r="L71" s="116" t="str">
        <f t="shared" si="4"/>
        <v>NA</v>
      </c>
      <c r="M71" s="116" t="s">
        <v>1110</v>
      </c>
    </row>
    <row r="72" spans="2:17" ht="16.149999999999999" customHeight="1" x14ac:dyDescent="0.35">
      <c r="B72" s="332"/>
      <c r="C72" s="316"/>
      <c r="D72" s="316"/>
      <c r="E72" s="316"/>
      <c r="F72" s="317" t="str">
        <f ca="1">'Translation Table'!H192</f>
        <v>Total conventional onshore oil well population</v>
      </c>
      <c r="G72" s="318"/>
      <c r="H72" s="217" t="str">
        <f ca="1">H73</f>
        <v>Well Count</v>
      </c>
      <c r="I72" s="216" t="str">
        <f ca="1">'Translation Table'!H108</f>
        <v>CH4</v>
      </c>
      <c r="J72" s="116">
        <v>0.01</v>
      </c>
      <c r="K72" s="135"/>
      <c r="L72" s="116">
        <f t="shared" si="4"/>
        <v>0.01</v>
      </c>
      <c r="M72" s="116" t="s">
        <v>1110</v>
      </c>
      <c r="Q72" s="133">
        <f>G72</f>
        <v>0</v>
      </c>
    </row>
    <row r="73" spans="2:17" ht="16.149999999999999" customHeight="1" x14ac:dyDescent="0.35">
      <c r="B73" s="332"/>
      <c r="C73" s="316"/>
      <c r="D73" s="316"/>
      <c r="E73" s="316"/>
      <c r="F73" s="317"/>
      <c r="G73" s="318"/>
      <c r="H73" s="219" t="str">
        <f ca="1">'Translation Table'!H269</f>
        <v>Well Count</v>
      </c>
      <c r="I73" s="216" t="str">
        <f ca="1">'Translation Table'!H109</f>
        <v>CO2</v>
      </c>
      <c r="J73" s="116">
        <v>0.22</v>
      </c>
      <c r="K73" s="135"/>
      <c r="L73" s="116">
        <f t="shared" si="4"/>
        <v>0.22</v>
      </c>
      <c r="M73" s="116" t="s">
        <v>1110</v>
      </c>
    </row>
    <row r="74" spans="2:17" ht="16.149999999999999" customHeight="1" x14ac:dyDescent="0.35">
      <c r="B74" s="332"/>
      <c r="C74" s="316"/>
      <c r="D74" s="316"/>
      <c r="E74" s="316"/>
      <c r="F74" s="317"/>
      <c r="G74" s="318"/>
      <c r="H74" s="219"/>
      <c r="I74" s="216" t="str">
        <f ca="1">'Translation Table'!H110</f>
        <v>N2O</v>
      </c>
      <c r="J74" s="116">
        <v>1.5999999999999999E-6</v>
      </c>
      <c r="K74" s="135"/>
      <c r="L74" s="116">
        <f t="shared" si="4"/>
        <v>1.5999999999999999E-6</v>
      </c>
      <c r="M74" s="116" t="s">
        <v>1110</v>
      </c>
    </row>
    <row r="75" spans="2:17" ht="16.149999999999999" customHeight="1" x14ac:dyDescent="0.35">
      <c r="B75" s="332"/>
      <c r="C75" s="316"/>
      <c r="D75" s="316"/>
      <c r="E75" s="316"/>
      <c r="F75" s="317"/>
      <c r="G75" s="318"/>
      <c r="H75" s="219"/>
      <c r="I75" s="216" t="str">
        <f ca="1">'Translation Table'!H111</f>
        <v>NOx</v>
      </c>
      <c r="J75" s="116" t="s">
        <v>1015</v>
      </c>
      <c r="K75" s="135"/>
      <c r="L75" s="116" t="str">
        <f t="shared" si="4"/>
        <v>NA</v>
      </c>
      <c r="M75" s="116" t="s">
        <v>1110</v>
      </c>
    </row>
    <row r="76" spans="2:17" ht="16.149999999999999" customHeight="1" x14ac:dyDescent="0.35">
      <c r="B76" s="332"/>
      <c r="C76" s="316"/>
      <c r="D76" s="316"/>
      <c r="E76" s="316"/>
      <c r="F76" s="317"/>
      <c r="G76" s="318"/>
      <c r="H76" s="219"/>
      <c r="I76" s="216" t="str">
        <f ca="1">'Translation Table'!H112</f>
        <v>CO</v>
      </c>
      <c r="J76" s="116" t="s">
        <v>1015</v>
      </c>
      <c r="K76" s="135"/>
      <c r="L76" s="116" t="str">
        <f t="shared" si="4"/>
        <v>NA</v>
      </c>
      <c r="M76" s="116" t="s">
        <v>1110</v>
      </c>
    </row>
    <row r="77" spans="2:17" ht="16.149999999999999" customHeight="1" x14ac:dyDescent="0.35">
      <c r="B77" s="332"/>
      <c r="C77" s="316"/>
      <c r="D77" s="316"/>
      <c r="E77" s="316"/>
      <c r="F77" s="317"/>
      <c r="G77" s="318"/>
      <c r="H77" s="227"/>
      <c r="I77" s="216" t="str">
        <f ca="1">'Translation Table'!H113</f>
        <v>NMVOC</v>
      </c>
      <c r="J77" s="116">
        <v>1.4E-3</v>
      </c>
      <c r="K77" s="135"/>
      <c r="L77" s="116">
        <f t="shared" si="4"/>
        <v>1.4E-3</v>
      </c>
      <c r="M77" s="116" t="s">
        <v>1110</v>
      </c>
    </row>
    <row r="78" spans="2:17" ht="16.149999999999999" customHeight="1" x14ac:dyDescent="0.35">
      <c r="B78" s="332"/>
      <c r="C78" s="316"/>
      <c r="D78" s="316"/>
      <c r="E78" s="316"/>
      <c r="F78" s="317"/>
      <c r="G78" s="318"/>
      <c r="H78" s="222"/>
      <c r="I78" s="216" t="str">
        <f ca="1">'Translation Table'!H114</f>
        <v>SO2</v>
      </c>
      <c r="J78" s="116" t="s">
        <v>1015</v>
      </c>
      <c r="K78" s="135"/>
      <c r="L78" s="116" t="str">
        <f t="shared" si="4"/>
        <v>NA</v>
      </c>
      <c r="M78" s="116" t="s">
        <v>1110</v>
      </c>
    </row>
    <row r="79" spans="2:17" ht="16.149999999999999" customHeight="1" x14ac:dyDescent="0.35">
      <c r="B79" s="332"/>
      <c r="C79" s="316"/>
      <c r="D79" s="316"/>
      <c r="E79" s="316"/>
      <c r="F79" s="317" t="str">
        <f ca="1">'Translation Table'!H193</f>
        <v>Onshore conventional oil production</v>
      </c>
      <c r="G79" s="318"/>
      <c r="H79" s="223" t="str">
        <f ca="1">INDIRECT("'Lookup Tables'!B"&amp;74+P79) &amp;""</f>
        <v>E+03 m^3/y</v>
      </c>
      <c r="I79" s="216" t="str">
        <f ca="1">'Translation Table'!H108</f>
        <v>CH4</v>
      </c>
      <c r="J79" s="116">
        <v>0.02</v>
      </c>
      <c r="K79" s="135"/>
      <c r="L79" s="116">
        <f t="shared" si="4"/>
        <v>0.02</v>
      </c>
      <c r="M79" s="116" t="s">
        <v>1032</v>
      </c>
      <c r="P79" s="133">
        <v>3</v>
      </c>
      <c r="Q79" s="133">
        <f ca="1">(INDIRECT("'Lookup Tables'!D"&amp;74+P79) &amp;"")*G79</f>
        <v>0</v>
      </c>
    </row>
    <row r="80" spans="2:17" ht="16.149999999999999" customHeight="1" x14ac:dyDescent="0.35">
      <c r="B80" s="332"/>
      <c r="C80" s="316"/>
      <c r="D80" s="316"/>
      <c r="E80" s="316"/>
      <c r="F80" s="317"/>
      <c r="G80" s="318"/>
      <c r="H80" s="224"/>
      <c r="I80" s="216" t="str">
        <f ca="1">'Translation Table'!H109</f>
        <v>CO2</v>
      </c>
      <c r="J80" s="116">
        <v>0.44</v>
      </c>
      <c r="K80" s="135"/>
      <c r="L80" s="116">
        <f t="shared" si="4"/>
        <v>0.44</v>
      </c>
      <c r="M80" s="116" t="s">
        <v>1032</v>
      </c>
    </row>
    <row r="81" spans="2:17" ht="16.149999999999999" customHeight="1" x14ac:dyDescent="0.35">
      <c r="B81" s="332"/>
      <c r="C81" s="316"/>
      <c r="D81" s="316"/>
      <c r="E81" s="316"/>
      <c r="F81" s="317"/>
      <c r="G81" s="318"/>
      <c r="H81" s="224"/>
      <c r="I81" s="216" t="str">
        <f ca="1">'Translation Table'!H110</f>
        <v>N2O</v>
      </c>
      <c r="J81" s="116">
        <v>3.1999999999999999E-6</v>
      </c>
      <c r="K81" s="135"/>
      <c r="L81" s="116">
        <f t="shared" si="4"/>
        <v>3.1999999999999999E-6</v>
      </c>
      <c r="M81" s="116" t="s">
        <v>1032</v>
      </c>
    </row>
    <row r="82" spans="2:17" ht="16.149999999999999" customHeight="1" x14ac:dyDescent="0.35">
      <c r="B82" s="332"/>
      <c r="C82" s="316"/>
      <c r="D82" s="316"/>
      <c r="E82" s="316"/>
      <c r="F82" s="317"/>
      <c r="G82" s="318"/>
      <c r="H82" s="224"/>
      <c r="I82" s="216" t="str">
        <f ca="1">'Translation Table'!H111</f>
        <v>NOx</v>
      </c>
      <c r="J82" s="116" t="s">
        <v>1015</v>
      </c>
      <c r="K82" s="135"/>
      <c r="L82" s="116" t="str">
        <f t="shared" si="4"/>
        <v>NA</v>
      </c>
      <c r="M82" s="116" t="s">
        <v>1032</v>
      </c>
    </row>
    <row r="83" spans="2:17" ht="16.149999999999999" customHeight="1" x14ac:dyDescent="0.35">
      <c r="B83" s="332"/>
      <c r="C83" s="316"/>
      <c r="D83" s="316"/>
      <c r="E83" s="316"/>
      <c r="F83" s="317"/>
      <c r="G83" s="318"/>
      <c r="H83" s="224"/>
      <c r="I83" s="216" t="str">
        <f ca="1">'Translation Table'!H112</f>
        <v>CO</v>
      </c>
      <c r="J83" s="116" t="s">
        <v>1015</v>
      </c>
      <c r="K83" s="135"/>
      <c r="L83" s="116" t="str">
        <f t="shared" si="4"/>
        <v>NA</v>
      </c>
      <c r="M83" s="116" t="s">
        <v>1032</v>
      </c>
    </row>
    <row r="84" spans="2:17" ht="16.149999999999999" customHeight="1" x14ac:dyDescent="0.35">
      <c r="B84" s="332"/>
      <c r="C84" s="316"/>
      <c r="D84" s="316"/>
      <c r="E84" s="316"/>
      <c r="F84" s="317"/>
      <c r="G84" s="318"/>
      <c r="H84" s="227"/>
      <c r="I84" s="216" t="str">
        <f ca="1">'Translation Table'!H113</f>
        <v>NMVOC</v>
      </c>
      <c r="J84" s="116">
        <v>2.8E-3</v>
      </c>
      <c r="K84" s="135"/>
      <c r="L84" s="116">
        <f t="shared" si="4"/>
        <v>2.8E-3</v>
      </c>
      <c r="M84" s="116" t="s">
        <v>1032</v>
      </c>
    </row>
    <row r="85" spans="2:17" ht="16.149999999999999" customHeight="1" x14ac:dyDescent="0.35">
      <c r="B85" s="332"/>
      <c r="C85" s="316"/>
      <c r="D85" s="316"/>
      <c r="E85" s="316"/>
      <c r="F85" s="317"/>
      <c r="G85" s="318"/>
      <c r="H85" s="222"/>
      <c r="I85" s="216" t="str">
        <f ca="1">'Translation Table'!H114</f>
        <v>SO2</v>
      </c>
      <c r="J85" s="116" t="s">
        <v>1015</v>
      </c>
      <c r="K85" s="135"/>
      <c r="L85" s="116" t="str">
        <f t="shared" si="4"/>
        <v>NA</v>
      </c>
      <c r="M85" s="116" t="s">
        <v>1032</v>
      </c>
    </row>
    <row r="86" spans="2:17" ht="16.149999999999999" customHeight="1" x14ac:dyDescent="0.35">
      <c r="B86" s="332" t="str">
        <f ca="1">'Translation Table'!H116</f>
        <v>Oil Production and Upgrading</v>
      </c>
      <c r="C86" s="338" t="str">
        <f ca="1">'Translation Table'!H133</f>
        <v>Onshore: Most activities occurring with higher- emitting technologies and practices</v>
      </c>
      <c r="D86" s="338"/>
      <c r="E86" s="338"/>
      <c r="F86" s="317" t="str">
        <f ca="1">'Translation Table'!H194</f>
        <v>Onshore oil production</v>
      </c>
      <c r="G86" s="318"/>
      <c r="H86" s="223" t="str">
        <f ca="1">INDIRECT("'Lookup Tables'!B"&amp;74+P86) &amp;""</f>
        <v>E+03 m^3/y</v>
      </c>
      <c r="I86" s="216" t="str">
        <f ca="1">'Translation Table'!H108</f>
        <v>CH4</v>
      </c>
      <c r="J86" s="116">
        <v>3.43</v>
      </c>
      <c r="K86" s="135" t="s">
        <v>1015</v>
      </c>
      <c r="L86" s="116">
        <f t="shared" si="4"/>
        <v>3.43</v>
      </c>
      <c r="M86" s="116" t="s">
        <v>1032</v>
      </c>
      <c r="P86" s="133">
        <v>3</v>
      </c>
      <c r="Q86" s="133">
        <f ca="1">(INDIRECT("'Lookup Tables'!D"&amp;74+P86) &amp;"")*G86</f>
        <v>0</v>
      </c>
    </row>
    <row r="87" spans="2:17" ht="16.149999999999999" customHeight="1" x14ac:dyDescent="0.35">
      <c r="B87" s="332"/>
      <c r="C87" s="338"/>
      <c r="D87" s="338"/>
      <c r="E87" s="338"/>
      <c r="F87" s="317"/>
      <c r="G87" s="318"/>
      <c r="H87" s="224"/>
      <c r="I87" s="216" t="str">
        <f ca="1">'Translation Table'!H109</f>
        <v>CO2</v>
      </c>
      <c r="J87" s="116">
        <v>12.4</v>
      </c>
      <c r="K87" s="135" t="s">
        <v>1015</v>
      </c>
      <c r="L87" s="116">
        <f t="shared" ref="L87:L150" si="5">IF(OR(K87="",K87="NA"),J87,K87)</f>
        <v>12.4</v>
      </c>
      <c r="M87" s="116" t="s">
        <v>1032</v>
      </c>
    </row>
    <row r="88" spans="2:17" ht="16.149999999999999" customHeight="1" x14ac:dyDescent="0.35">
      <c r="B88" s="332"/>
      <c r="C88" s="338"/>
      <c r="D88" s="338"/>
      <c r="E88" s="338"/>
      <c r="F88" s="317"/>
      <c r="G88" s="318"/>
      <c r="H88" s="224"/>
      <c r="I88" s="216" t="str">
        <f ca="1">'Translation Table'!H110</f>
        <v>N2O</v>
      </c>
      <c r="J88" s="116">
        <v>1.9000000000000001E-4</v>
      </c>
      <c r="K88" s="135" t="s">
        <v>1015</v>
      </c>
      <c r="L88" s="116">
        <f t="shared" si="5"/>
        <v>1.9000000000000001E-4</v>
      </c>
      <c r="M88" s="116" t="s">
        <v>1032</v>
      </c>
    </row>
    <row r="89" spans="2:17" ht="16.149999999999999" customHeight="1" x14ac:dyDescent="0.35">
      <c r="B89" s="332"/>
      <c r="C89" s="338"/>
      <c r="D89" s="338"/>
      <c r="E89" s="338"/>
      <c r="F89" s="317"/>
      <c r="G89" s="318"/>
      <c r="H89" s="224"/>
      <c r="I89" s="216" t="str">
        <f ca="1">'Translation Table'!H111</f>
        <v>NOx</v>
      </c>
      <c r="J89" s="116" t="s">
        <v>1015</v>
      </c>
      <c r="K89" s="135" t="s">
        <v>1015</v>
      </c>
      <c r="L89" s="116" t="str">
        <f t="shared" si="5"/>
        <v>NA</v>
      </c>
      <c r="M89" s="116" t="s">
        <v>1032</v>
      </c>
    </row>
    <row r="90" spans="2:17" ht="16.149999999999999" customHeight="1" x14ac:dyDescent="0.35">
      <c r="B90" s="332"/>
      <c r="C90" s="338"/>
      <c r="D90" s="338"/>
      <c r="E90" s="338"/>
      <c r="F90" s="317"/>
      <c r="G90" s="318"/>
      <c r="H90" s="224"/>
      <c r="I90" s="216" t="str">
        <f ca="1">'Translation Table'!H112</f>
        <v>CO</v>
      </c>
      <c r="J90" s="116" t="s">
        <v>1015</v>
      </c>
      <c r="K90" s="135" t="s">
        <v>1015</v>
      </c>
      <c r="L90" s="116" t="str">
        <f t="shared" si="5"/>
        <v>NA</v>
      </c>
      <c r="M90" s="116" t="s">
        <v>1032</v>
      </c>
    </row>
    <row r="91" spans="2:17" ht="16.149999999999999" customHeight="1" x14ac:dyDescent="0.35">
      <c r="B91" s="332"/>
      <c r="C91" s="338"/>
      <c r="D91" s="338"/>
      <c r="E91" s="338"/>
      <c r="F91" s="317"/>
      <c r="G91" s="318"/>
      <c r="H91" s="227"/>
      <c r="I91" s="216" t="str">
        <f ca="1">'Translation Table'!H113</f>
        <v>NMVOC</v>
      </c>
      <c r="J91" s="116">
        <v>1.48</v>
      </c>
      <c r="K91" s="135" t="s">
        <v>1015</v>
      </c>
      <c r="L91" s="116">
        <f t="shared" si="5"/>
        <v>1.48</v>
      </c>
      <c r="M91" s="116" t="s">
        <v>1032</v>
      </c>
    </row>
    <row r="92" spans="2:17" ht="16.149999999999999" customHeight="1" x14ac:dyDescent="0.35">
      <c r="B92" s="332"/>
      <c r="C92" s="338"/>
      <c r="D92" s="338"/>
      <c r="E92" s="338"/>
      <c r="F92" s="317"/>
      <c r="G92" s="318"/>
      <c r="H92" s="222"/>
      <c r="I92" s="216" t="str">
        <f ca="1">'Translation Table'!H114</f>
        <v>SO2</v>
      </c>
      <c r="J92" s="116" t="s">
        <v>1015</v>
      </c>
      <c r="K92" s="135" t="s">
        <v>1015</v>
      </c>
      <c r="L92" s="116" t="str">
        <f t="shared" si="5"/>
        <v>NA</v>
      </c>
      <c r="M92" s="116" t="s">
        <v>1032</v>
      </c>
    </row>
    <row r="93" spans="2:17" ht="16.149999999999999" customHeight="1" x14ac:dyDescent="0.35">
      <c r="B93" s="332"/>
      <c r="C93" s="338"/>
      <c r="D93" s="338"/>
      <c r="E93" s="338"/>
      <c r="F93" s="317" t="str">
        <f ca="1">'Translation Table'!H195</f>
        <v>Active onshore oil well</v>
      </c>
      <c r="G93" s="318"/>
      <c r="H93" s="217" t="str">
        <f ca="1">H94</f>
        <v>Well Count</v>
      </c>
      <c r="I93" s="216" t="str">
        <f ca="1">'Translation Table'!H108</f>
        <v>CH4</v>
      </c>
      <c r="J93" s="116">
        <v>2.35</v>
      </c>
      <c r="K93" s="135" t="s">
        <v>1015</v>
      </c>
      <c r="L93" s="116">
        <f t="shared" si="5"/>
        <v>2.35</v>
      </c>
      <c r="M93" s="116" t="s">
        <v>1110</v>
      </c>
      <c r="Q93" s="133">
        <f>G93</f>
        <v>0</v>
      </c>
    </row>
    <row r="94" spans="2:17" ht="16.149999999999999" customHeight="1" x14ac:dyDescent="0.35">
      <c r="B94" s="332"/>
      <c r="C94" s="338"/>
      <c r="D94" s="338"/>
      <c r="E94" s="338"/>
      <c r="F94" s="317"/>
      <c r="G94" s="318"/>
      <c r="H94" s="219" t="str">
        <f ca="1">'Translation Table'!H269</f>
        <v>Well Count</v>
      </c>
      <c r="I94" s="216" t="str">
        <f ca="1">'Translation Table'!H109</f>
        <v>CO2</v>
      </c>
      <c r="J94" s="116">
        <v>8.4700000000000006</v>
      </c>
      <c r="K94" s="135" t="s">
        <v>1015</v>
      </c>
      <c r="L94" s="116">
        <f t="shared" si="5"/>
        <v>8.4700000000000006</v>
      </c>
      <c r="M94" s="116" t="s">
        <v>1110</v>
      </c>
    </row>
    <row r="95" spans="2:17" ht="16.149999999999999" customHeight="1" x14ac:dyDescent="0.35">
      <c r="B95" s="332"/>
      <c r="C95" s="338"/>
      <c r="D95" s="338"/>
      <c r="E95" s="338"/>
      <c r="F95" s="317"/>
      <c r="G95" s="318"/>
      <c r="H95" s="219"/>
      <c r="I95" s="216" t="str">
        <f ca="1">'Translation Table'!H110</f>
        <v>N2O</v>
      </c>
      <c r="J95" s="116">
        <v>1.2999999999999999E-4</v>
      </c>
      <c r="K95" s="135" t="s">
        <v>1015</v>
      </c>
      <c r="L95" s="116">
        <f t="shared" si="5"/>
        <v>1.2999999999999999E-4</v>
      </c>
      <c r="M95" s="116" t="s">
        <v>1110</v>
      </c>
    </row>
    <row r="96" spans="2:17" ht="16.149999999999999" customHeight="1" x14ac:dyDescent="0.35">
      <c r="B96" s="332"/>
      <c r="C96" s="338"/>
      <c r="D96" s="338"/>
      <c r="E96" s="338"/>
      <c r="F96" s="317"/>
      <c r="G96" s="318"/>
      <c r="H96" s="219"/>
      <c r="I96" s="216" t="str">
        <f ca="1">'Translation Table'!H111</f>
        <v>NOx</v>
      </c>
      <c r="J96" s="116" t="s">
        <v>1015</v>
      </c>
      <c r="K96" s="135" t="s">
        <v>1015</v>
      </c>
      <c r="L96" s="116" t="str">
        <f t="shared" si="5"/>
        <v>NA</v>
      </c>
      <c r="M96" s="116" t="s">
        <v>1110</v>
      </c>
    </row>
    <row r="97" spans="2:17" ht="16.149999999999999" customHeight="1" x14ac:dyDescent="0.35">
      <c r="B97" s="332"/>
      <c r="C97" s="338"/>
      <c r="D97" s="338"/>
      <c r="E97" s="338"/>
      <c r="F97" s="317"/>
      <c r="G97" s="318"/>
      <c r="H97" s="219"/>
      <c r="I97" s="216" t="str">
        <f ca="1">'Translation Table'!H112</f>
        <v>CO</v>
      </c>
      <c r="J97" s="116" t="s">
        <v>1015</v>
      </c>
      <c r="K97" s="135" t="s">
        <v>1015</v>
      </c>
      <c r="L97" s="116" t="str">
        <f t="shared" si="5"/>
        <v>NA</v>
      </c>
      <c r="M97" s="116" t="s">
        <v>1110</v>
      </c>
    </row>
    <row r="98" spans="2:17" ht="16.149999999999999" customHeight="1" x14ac:dyDescent="0.35">
      <c r="B98" s="332"/>
      <c r="C98" s="338"/>
      <c r="D98" s="338"/>
      <c r="E98" s="338"/>
      <c r="F98" s="317"/>
      <c r="G98" s="318"/>
      <c r="H98" s="227"/>
      <c r="I98" s="216" t="str">
        <f ca="1">'Translation Table'!H113</f>
        <v>NMVOC</v>
      </c>
      <c r="J98" s="116">
        <v>1.01</v>
      </c>
      <c r="K98" s="135" t="s">
        <v>1015</v>
      </c>
      <c r="L98" s="116">
        <f t="shared" si="5"/>
        <v>1.01</v>
      </c>
      <c r="M98" s="116" t="s">
        <v>1110</v>
      </c>
    </row>
    <row r="99" spans="2:17" ht="16.149999999999999" customHeight="1" x14ac:dyDescent="0.35">
      <c r="B99" s="332"/>
      <c r="C99" s="338"/>
      <c r="D99" s="338"/>
      <c r="E99" s="338"/>
      <c r="F99" s="317"/>
      <c r="G99" s="318"/>
      <c r="H99" s="222"/>
      <c r="I99" s="216" t="str">
        <f ca="1">'Translation Table'!H114</f>
        <v>SO2</v>
      </c>
      <c r="J99" s="116" t="s">
        <v>1015</v>
      </c>
      <c r="K99" s="135" t="s">
        <v>1015</v>
      </c>
      <c r="L99" s="116" t="str">
        <f t="shared" si="5"/>
        <v>NA</v>
      </c>
      <c r="M99" s="116" t="s">
        <v>1110</v>
      </c>
    </row>
    <row r="100" spans="2:17" ht="16.149999999999999" customHeight="1" x14ac:dyDescent="0.35">
      <c r="B100" s="332"/>
      <c r="C100" s="338" t="str">
        <f ca="1">'Translation Table'!H134</f>
        <v>Onshore: Most activities occurring with lower-emitting technologies and practices</v>
      </c>
      <c r="D100" s="338"/>
      <c r="E100" s="338"/>
      <c r="F100" s="317" t="str">
        <f ca="1">'Translation Table'!H196</f>
        <v>Onshore oil production</v>
      </c>
      <c r="G100" s="318"/>
      <c r="H100" s="223" t="str">
        <f ca="1">INDIRECT("'Lookup Tables'!B"&amp;74+P100) &amp;""</f>
        <v>E+03 m^3/y</v>
      </c>
      <c r="I100" s="216" t="str">
        <f ca="1">'Translation Table'!H108</f>
        <v>CH4</v>
      </c>
      <c r="J100" s="116">
        <v>2.91</v>
      </c>
      <c r="K100" s="135" t="s">
        <v>1015</v>
      </c>
      <c r="L100" s="116">
        <f t="shared" si="5"/>
        <v>2.91</v>
      </c>
      <c r="M100" s="116" t="s">
        <v>1032</v>
      </c>
      <c r="P100" s="133">
        <v>3</v>
      </c>
      <c r="Q100" s="133">
        <f ca="1">(INDIRECT("'Lookup Tables'!D"&amp;74+P100) &amp;"")*G100</f>
        <v>0</v>
      </c>
    </row>
    <row r="101" spans="2:17" ht="16.149999999999999" customHeight="1" x14ac:dyDescent="0.35">
      <c r="B101" s="332"/>
      <c r="C101" s="338"/>
      <c r="D101" s="338"/>
      <c r="E101" s="338"/>
      <c r="F101" s="317"/>
      <c r="G101" s="318"/>
      <c r="H101" s="224"/>
      <c r="I101" s="216" t="str">
        <f ca="1">'Translation Table'!H109</f>
        <v>CO2</v>
      </c>
      <c r="J101" s="116">
        <v>44.99</v>
      </c>
      <c r="K101" s="135" t="s">
        <v>1015</v>
      </c>
      <c r="L101" s="116">
        <f t="shared" si="5"/>
        <v>44.99</v>
      </c>
      <c r="M101" s="116" t="s">
        <v>1032</v>
      </c>
    </row>
    <row r="102" spans="2:17" ht="16.149999999999999" customHeight="1" x14ac:dyDescent="0.35">
      <c r="B102" s="332"/>
      <c r="C102" s="338"/>
      <c r="D102" s="338"/>
      <c r="E102" s="338"/>
      <c r="F102" s="317"/>
      <c r="G102" s="318"/>
      <c r="H102" s="224"/>
      <c r="I102" s="216" t="str">
        <f ca="1">'Translation Table'!H110</f>
        <v>N2O</v>
      </c>
      <c r="J102" s="116">
        <v>6.7000000000000002E-4</v>
      </c>
      <c r="K102" s="135" t="s">
        <v>1015</v>
      </c>
      <c r="L102" s="116">
        <f t="shared" si="5"/>
        <v>6.7000000000000002E-4</v>
      </c>
      <c r="M102" s="116" t="s">
        <v>1032</v>
      </c>
    </row>
    <row r="103" spans="2:17" ht="16.149999999999999" customHeight="1" x14ac:dyDescent="0.35">
      <c r="B103" s="332"/>
      <c r="C103" s="338"/>
      <c r="D103" s="338"/>
      <c r="E103" s="338"/>
      <c r="F103" s="317"/>
      <c r="G103" s="318"/>
      <c r="H103" s="224"/>
      <c r="I103" s="216" t="str">
        <f ca="1">'Translation Table'!H111</f>
        <v>NOx</v>
      </c>
      <c r="J103" s="116" t="s">
        <v>1015</v>
      </c>
      <c r="K103" s="135" t="s">
        <v>1015</v>
      </c>
      <c r="L103" s="116" t="str">
        <f t="shared" si="5"/>
        <v>NA</v>
      </c>
      <c r="M103" s="116" t="s">
        <v>1032</v>
      </c>
    </row>
    <row r="104" spans="2:17" ht="16.149999999999999" customHeight="1" x14ac:dyDescent="0.35">
      <c r="B104" s="332"/>
      <c r="C104" s="338"/>
      <c r="D104" s="338"/>
      <c r="E104" s="338"/>
      <c r="F104" s="317"/>
      <c r="G104" s="318"/>
      <c r="H104" s="224"/>
      <c r="I104" s="216" t="str">
        <f ca="1">'Translation Table'!H112</f>
        <v>CO</v>
      </c>
      <c r="J104" s="116" t="s">
        <v>1015</v>
      </c>
      <c r="K104" s="135" t="s">
        <v>1015</v>
      </c>
      <c r="L104" s="116" t="str">
        <f t="shared" si="5"/>
        <v>NA</v>
      </c>
      <c r="M104" s="116" t="s">
        <v>1032</v>
      </c>
    </row>
    <row r="105" spans="2:17" ht="16.149999999999999" customHeight="1" x14ac:dyDescent="0.35">
      <c r="B105" s="332"/>
      <c r="C105" s="338"/>
      <c r="D105" s="338"/>
      <c r="E105" s="338"/>
      <c r="F105" s="317"/>
      <c r="G105" s="318"/>
      <c r="H105" s="227"/>
      <c r="I105" s="216" t="str">
        <f ca="1">'Translation Table'!H113</f>
        <v>NMVOC</v>
      </c>
      <c r="J105" s="116">
        <v>1.25</v>
      </c>
      <c r="K105" s="135" t="s">
        <v>1015</v>
      </c>
      <c r="L105" s="116">
        <f t="shared" si="5"/>
        <v>1.25</v>
      </c>
      <c r="M105" s="116" t="s">
        <v>1032</v>
      </c>
    </row>
    <row r="106" spans="2:17" ht="16.149999999999999" customHeight="1" x14ac:dyDescent="0.35">
      <c r="B106" s="332"/>
      <c r="C106" s="338"/>
      <c r="D106" s="338"/>
      <c r="E106" s="338"/>
      <c r="F106" s="317"/>
      <c r="G106" s="318"/>
      <c r="H106" s="222"/>
      <c r="I106" s="216" t="str">
        <f ca="1">'Translation Table'!H114</f>
        <v>SO2</v>
      </c>
      <c r="J106" s="116" t="s">
        <v>1015</v>
      </c>
      <c r="K106" s="135" t="s">
        <v>1015</v>
      </c>
      <c r="L106" s="116" t="str">
        <f t="shared" si="5"/>
        <v>NA</v>
      </c>
      <c r="M106" s="116" t="s">
        <v>1032</v>
      </c>
    </row>
    <row r="107" spans="2:17" ht="16.149999999999999" customHeight="1" x14ac:dyDescent="0.35">
      <c r="B107" s="332"/>
      <c r="C107" s="338"/>
      <c r="D107" s="338"/>
      <c r="E107" s="338"/>
      <c r="F107" s="317" t="str">
        <f ca="1">'Translation Table'!H197</f>
        <v>Active onshore oil well</v>
      </c>
      <c r="G107" s="318"/>
      <c r="H107" s="217" t="str">
        <f ca="1">H108</f>
        <v>Well Count</v>
      </c>
      <c r="I107" s="216" t="str">
        <f ca="1">'Translation Table'!H108</f>
        <v>CH4</v>
      </c>
      <c r="J107" s="116">
        <v>2.19</v>
      </c>
      <c r="K107" s="135" t="s">
        <v>1015</v>
      </c>
      <c r="L107" s="116">
        <f t="shared" si="5"/>
        <v>2.19</v>
      </c>
      <c r="M107" s="116" t="s">
        <v>1110</v>
      </c>
      <c r="Q107" s="133">
        <f>G107</f>
        <v>0</v>
      </c>
    </row>
    <row r="108" spans="2:17" ht="16.149999999999999" customHeight="1" x14ac:dyDescent="0.35">
      <c r="B108" s="332"/>
      <c r="C108" s="338"/>
      <c r="D108" s="338"/>
      <c r="E108" s="338"/>
      <c r="F108" s="317"/>
      <c r="G108" s="318"/>
      <c r="H108" s="219" t="str">
        <f ca="1">'Translation Table'!H269</f>
        <v>Well Count</v>
      </c>
      <c r="I108" s="216" t="str">
        <f ca="1">'Translation Table'!H109</f>
        <v>CO2</v>
      </c>
      <c r="J108" s="116">
        <v>33.83</v>
      </c>
      <c r="K108" s="135" t="s">
        <v>1015</v>
      </c>
      <c r="L108" s="116">
        <f t="shared" si="5"/>
        <v>33.83</v>
      </c>
      <c r="M108" s="116" t="s">
        <v>1110</v>
      </c>
    </row>
    <row r="109" spans="2:17" ht="16.149999999999999" customHeight="1" x14ac:dyDescent="0.35">
      <c r="B109" s="332"/>
      <c r="C109" s="338"/>
      <c r="D109" s="338"/>
      <c r="E109" s="338"/>
      <c r="F109" s="317"/>
      <c r="G109" s="318"/>
      <c r="H109" s="219"/>
      <c r="I109" s="216" t="str">
        <f ca="1">'Translation Table'!H110</f>
        <v>N2O</v>
      </c>
      <c r="J109" s="116">
        <v>5.1000000000000004E-4</v>
      </c>
      <c r="K109" s="135" t="s">
        <v>1015</v>
      </c>
      <c r="L109" s="116">
        <f t="shared" si="5"/>
        <v>5.1000000000000004E-4</v>
      </c>
      <c r="M109" s="116" t="s">
        <v>1110</v>
      </c>
    </row>
    <row r="110" spans="2:17" ht="16.149999999999999" customHeight="1" x14ac:dyDescent="0.35">
      <c r="B110" s="332"/>
      <c r="C110" s="338"/>
      <c r="D110" s="338"/>
      <c r="E110" s="338"/>
      <c r="F110" s="317"/>
      <c r="G110" s="318"/>
      <c r="H110" s="219"/>
      <c r="I110" s="216" t="str">
        <f ca="1">'Translation Table'!H111</f>
        <v>NOx</v>
      </c>
      <c r="J110" s="116" t="s">
        <v>1015</v>
      </c>
      <c r="K110" s="135" t="s">
        <v>1015</v>
      </c>
      <c r="L110" s="116" t="str">
        <f t="shared" si="5"/>
        <v>NA</v>
      </c>
      <c r="M110" s="116" t="s">
        <v>1110</v>
      </c>
    </row>
    <row r="111" spans="2:17" ht="16.149999999999999" customHeight="1" x14ac:dyDescent="0.35">
      <c r="B111" s="332"/>
      <c r="C111" s="338"/>
      <c r="D111" s="338"/>
      <c r="E111" s="338"/>
      <c r="F111" s="317"/>
      <c r="G111" s="318"/>
      <c r="H111" s="219"/>
      <c r="I111" s="216" t="str">
        <f ca="1">'Translation Table'!H112</f>
        <v>CO</v>
      </c>
      <c r="J111" s="116" t="s">
        <v>1015</v>
      </c>
      <c r="K111" s="135" t="s">
        <v>1015</v>
      </c>
      <c r="L111" s="116" t="str">
        <f t="shared" si="5"/>
        <v>NA</v>
      </c>
      <c r="M111" s="116" t="s">
        <v>1110</v>
      </c>
    </row>
    <row r="112" spans="2:17" ht="16.149999999999999" customHeight="1" x14ac:dyDescent="0.35">
      <c r="B112" s="332"/>
      <c r="C112" s="338"/>
      <c r="D112" s="338"/>
      <c r="E112" s="338"/>
      <c r="F112" s="317"/>
      <c r="G112" s="318"/>
      <c r="H112" s="227"/>
      <c r="I112" s="216" t="str">
        <f ca="1">'Translation Table'!H113</f>
        <v>NMVOC</v>
      </c>
      <c r="J112" s="116">
        <v>0.94</v>
      </c>
      <c r="K112" s="135" t="s">
        <v>1015</v>
      </c>
      <c r="L112" s="116">
        <f t="shared" si="5"/>
        <v>0.94</v>
      </c>
      <c r="M112" s="116" t="s">
        <v>1110</v>
      </c>
    </row>
    <row r="113" spans="2:17" ht="16.149999999999999" customHeight="1" x14ac:dyDescent="0.35">
      <c r="B113" s="332"/>
      <c r="C113" s="338"/>
      <c r="D113" s="338"/>
      <c r="E113" s="338"/>
      <c r="F113" s="317"/>
      <c r="G113" s="318"/>
      <c r="H113" s="222"/>
      <c r="I113" s="216" t="str">
        <f ca="1">'Translation Table'!H114</f>
        <v>SO2</v>
      </c>
      <c r="J113" s="116" t="s">
        <v>1015</v>
      </c>
      <c r="K113" s="135" t="s">
        <v>1015</v>
      </c>
      <c r="L113" s="116" t="str">
        <f t="shared" si="5"/>
        <v>NA</v>
      </c>
      <c r="M113" s="116" t="s">
        <v>1110</v>
      </c>
    </row>
    <row r="114" spans="2:17" ht="16.149999999999999" customHeight="1" x14ac:dyDescent="0.35">
      <c r="B114" s="332"/>
      <c r="C114" s="338" t="str">
        <f ca="1">'Translation Table'!H135</f>
        <v>Onshore All</v>
      </c>
      <c r="D114" s="338"/>
      <c r="E114" s="338"/>
      <c r="F114" s="317" t="str">
        <f ca="1">'Translation Table'!H198</f>
        <v>Onshore oil production</v>
      </c>
      <c r="G114" s="318"/>
      <c r="H114" s="223" t="str">
        <f ca="1">INDIRECT("'Lookup Tables'!B"&amp;74+P114) &amp;""</f>
        <v>E+03 m^3/y</v>
      </c>
      <c r="I114" s="216" t="str">
        <f ca="1">'Translation Table'!H108</f>
        <v>CH4</v>
      </c>
      <c r="J114" s="116" t="s">
        <v>1015</v>
      </c>
      <c r="K114" s="135"/>
      <c r="L114" s="116" t="str">
        <f t="shared" si="5"/>
        <v>NA</v>
      </c>
      <c r="M114" s="116" t="s">
        <v>1032</v>
      </c>
      <c r="P114" s="133">
        <v>3</v>
      </c>
      <c r="Q114" s="133">
        <f ca="1">(INDIRECT("'Lookup Tables'!D"&amp;74+P114) &amp;"")*G114</f>
        <v>0</v>
      </c>
    </row>
    <row r="115" spans="2:17" ht="16.149999999999999" customHeight="1" x14ac:dyDescent="0.35">
      <c r="B115" s="332"/>
      <c r="C115" s="338"/>
      <c r="D115" s="338"/>
      <c r="E115" s="338"/>
      <c r="F115" s="317"/>
      <c r="G115" s="318"/>
      <c r="H115" s="224"/>
      <c r="I115" s="216" t="str">
        <f ca="1">'Translation Table'!H109</f>
        <v>CO2</v>
      </c>
      <c r="J115" s="116" t="s">
        <v>1015</v>
      </c>
      <c r="K115" s="135"/>
      <c r="L115" s="116" t="str">
        <f t="shared" si="5"/>
        <v>NA</v>
      </c>
      <c r="M115" s="116" t="s">
        <v>1032</v>
      </c>
    </row>
    <row r="116" spans="2:17" ht="16.149999999999999" customHeight="1" x14ac:dyDescent="0.35">
      <c r="B116" s="332"/>
      <c r="C116" s="338"/>
      <c r="D116" s="338"/>
      <c r="E116" s="338"/>
      <c r="F116" s="317"/>
      <c r="G116" s="318"/>
      <c r="H116" s="224"/>
      <c r="I116" s="216" t="str">
        <f ca="1">'Translation Table'!H110</f>
        <v>N2O</v>
      </c>
      <c r="J116" s="116" t="s">
        <v>1015</v>
      </c>
      <c r="K116" s="135"/>
      <c r="L116" s="116" t="str">
        <f t="shared" si="5"/>
        <v>NA</v>
      </c>
      <c r="M116" s="116" t="s">
        <v>1032</v>
      </c>
    </row>
    <row r="117" spans="2:17" ht="16.149999999999999" customHeight="1" x14ac:dyDescent="0.35">
      <c r="B117" s="332"/>
      <c r="C117" s="338"/>
      <c r="D117" s="338"/>
      <c r="E117" s="338"/>
      <c r="F117" s="317"/>
      <c r="G117" s="318"/>
      <c r="H117" s="224"/>
      <c r="I117" s="216" t="str">
        <f ca="1">'Translation Table'!H111</f>
        <v>NOx</v>
      </c>
      <c r="J117" s="116" t="s">
        <v>1015</v>
      </c>
      <c r="K117" s="135"/>
      <c r="L117" s="116" t="str">
        <f t="shared" si="5"/>
        <v>NA</v>
      </c>
      <c r="M117" s="116" t="s">
        <v>1032</v>
      </c>
    </row>
    <row r="118" spans="2:17" ht="16.149999999999999" customHeight="1" x14ac:dyDescent="0.35">
      <c r="B118" s="332"/>
      <c r="C118" s="338"/>
      <c r="D118" s="338"/>
      <c r="E118" s="338"/>
      <c r="F118" s="317"/>
      <c r="G118" s="318"/>
      <c r="H118" s="224"/>
      <c r="I118" s="216" t="str">
        <f ca="1">'Translation Table'!H112</f>
        <v>CO</v>
      </c>
      <c r="J118" s="116" t="s">
        <v>1015</v>
      </c>
      <c r="K118" s="135"/>
      <c r="L118" s="116" t="str">
        <f t="shared" si="5"/>
        <v>NA</v>
      </c>
      <c r="M118" s="116" t="s">
        <v>1032</v>
      </c>
    </row>
    <row r="119" spans="2:17" ht="16.149999999999999" customHeight="1" x14ac:dyDescent="0.35">
      <c r="B119" s="332"/>
      <c r="C119" s="338"/>
      <c r="D119" s="338"/>
      <c r="E119" s="338"/>
      <c r="F119" s="317"/>
      <c r="G119" s="318"/>
      <c r="H119" s="227"/>
      <c r="I119" s="216" t="str">
        <f ca="1">'Translation Table'!H113</f>
        <v>NMVOC</v>
      </c>
      <c r="J119" s="116" t="s">
        <v>1015</v>
      </c>
      <c r="K119" s="135"/>
      <c r="L119" s="116" t="str">
        <f t="shared" si="5"/>
        <v>NA</v>
      </c>
      <c r="M119" s="116" t="s">
        <v>1032</v>
      </c>
    </row>
    <row r="120" spans="2:17" ht="16.149999999999999" customHeight="1" x14ac:dyDescent="0.35">
      <c r="B120" s="332"/>
      <c r="C120" s="338"/>
      <c r="D120" s="338"/>
      <c r="E120" s="338"/>
      <c r="F120" s="317"/>
      <c r="G120" s="318"/>
      <c r="H120" s="222"/>
      <c r="I120" s="216" t="str">
        <f ca="1">'Translation Table'!H114</f>
        <v>SO2</v>
      </c>
      <c r="J120" s="116" t="s">
        <v>1015</v>
      </c>
      <c r="K120" s="135"/>
      <c r="L120" s="116" t="str">
        <f t="shared" si="5"/>
        <v>NA</v>
      </c>
      <c r="M120" s="116" t="s">
        <v>1032</v>
      </c>
    </row>
    <row r="121" spans="2:17" ht="16.149999999999999" customHeight="1" x14ac:dyDescent="0.35">
      <c r="B121" s="332"/>
      <c r="C121" s="338"/>
      <c r="D121" s="338"/>
      <c r="E121" s="338"/>
      <c r="F121" s="317" t="str">
        <f ca="1">'Translation Table'!H199</f>
        <v>Active onshore oil well</v>
      </c>
      <c r="G121" s="318"/>
      <c r="H121" s="217" t="str">
        <f ca="1">H122</f>
        <v>Well Count</v>
      </c>
      <c r="I121" s="216" t="str">
        <f ca="1">'Translation Table'!H108</f>
        <v>CH4</v>
      </c>
      <c r="J121" s="116" t="s">
        <v>1015</v>
      </c>
      <c r="K121" s="135"/>
      <c r="L121" s="116" t="str">
        <f t="shared" si="5"/>
        <v>NA</v>
      </c>
      <c r="M121" s="116" t="s">
        <v>1110</v>
      </c>
      <c r="Q121" s="133">
        <f>G121</f>
        <v>0</v>
      </c>
    </row>
    <row r="122" spans="2:17" ht="16.149999999999999" customHeight="1" x14ac:dyDescent="0.35">
      <c r="B122" s="332"/>
      <c r="C122" s="338"/>
      <c r="D122" s="338"/>
      <c r="E122" s="338"/>
      <c r="F122" s="317"/>
      <c r="G122" s="318"/>
      <c r="H122" s="219" t="str">
        <f ca="1">'Translation Table'!H269</f>
        <v>Well Count</v>
      </c>
      <c r="I122" s="216" t="str">
        <f ca="1">'Translation Table'!H109</f>
        <v>CO2</v>
      </c>
      <c r="J122" s="116" t="s">
        <v>1015</v>
      </c>
      <c r="K122" s="135"/>
      <c r="L122" s="116" t="str">
        <f t="shared" si="5"/>
        <v>NA</v>
      </c>
      <c r="M122" s="116" t="s">
        <v>1110</v>
      </c>
    </row>
    <row r="123" spans="2:17" ht="16.149999999999999" customHeight="1" x14ac:dyDescent="0.35">
      <c r="B123" s="332"/>
      <c r="C123" s="338"/>
      <c r="D123" s="338"/>
      <c r="E123" s="338"/>
      <c r="F123" s="317"/>
      <c r="G123" s="318"/>
      <c r="H123" s="219"/>
      <c r="I123" s="216" t="str">
        <f ca="1">'Translation Table'!H110</f>
        <v>N2O</v>
      </c>
      <c r="J123" s="116" t="s">
        <v>1015</v>
      </c>
      <c r="K123" s="135"/>
      <c r="L123" s="116" t="str">
        <f t="shared" si="5"/>
        <v>NA</v>
      </c>
      <c r="M123" s="116" t="s">
        <v>1110</v>
      </c>
    </row>
    <row r="124" spans="2:17" ht="16.149999999999999" customHeight="1" x14ac:dyDescent="0.35">
      <c r="B124" s="332"/>
      <c r="C124" s="338"/>
      <c r="D124" s="338"/>
      <c r="E124" s="338"/>
      <c r="F124" s="317"/>
      <c r="G124" s="318"/>
      <c r="H124" s="219"/>
      <c r="I124" s="216" t="str">
        <f ca="1">'Translation Table'!H111</f>
        <v>NOx</v>
      </c>
      <c r="J124" s="116" t="s">
        <v>1015</v>
      </c>
      <c r="K124" s="135"/>
      <c r="L124" s="116" t="str">
        <f t="shared" si="5"/>
        <v>NA</v>
      </c>
      <c r="M124" s="116" t="s">
        <v>1110</v>
      </c>
    </row>
    <row r="125" spans="2:17" ht="16.149999999999999" customHeight="1" x14ac:dyDescent="0.35">
      <c r="B125" s="332"/>
      <c r="C125" s="338"/>
      <c r="D125" s="338"/>
      <c r="E125" s="338"/>
      <c r="F125" s="317"/>
      <c r="G125" s="318"/>
      <c r="H125" s="219"/>
      <c r="I125" s="216" t="str">
        <f ca="1">'Translation Table'!H112</f>
        <v>CO</v>
      </c>
      <c r="J125" s="116" t="s">
        <v>1015</v>
      </c>
      <c r="K125" s="135"/>
      <c r="L125" s="116" t="str">
        <f t="shared" si="5"/>
        <v>NA</v>
      </c>
      <c r="M125" s="116" t="s">
        <v>1110</v>
      </c>
    </row>
    <row r="126" spans="2:17" ht="16.149999999999999" customHeight="1" x14ac:dyDescent="0.35">
      <c r="B126" s="332"/>
      <c r="C126" s="338"/>
      <c r="D126" s="338"/>
      <c r="E126" s="338"/>
      <c r="F126" s="317"/>
      <c r="G126" s="318"/>
      <c r="H126" s="227"/>
      <c r="I126" s="216" t="str">
        <f ca="1">'Translation Table'!H113</f>
        <v>NMVOC</v>
      </c>
      <c r="J126" s="116" t="s">
        <v>1015</v>
      </c>
      <c r="K126" s="135"/>
      <c r="L126" s="116" t="str">
        <f t="shared" si="5"/>
        <v>NA</v>
      </c>
      <c r="M126" s="116" t="s">
        <v>1110</v>
      </c>
    </row>
    <row r="127" spans="2:17" ht="16.149999999999999" customHeight="1" x14ac:dyDescent="0.35">
      <c r="B127" s="332"/>
      <c r="C127" s="338"/>
      <c r="D127" s="338"/>
      <c r="E127" s="338"/>
      <c r="F127" s="317"/>
      <c r="G127" s="318"/>
      <c r="H127" s="222"/>
      <c r="I127" s="216" t="str">
        <f ca="1">'Translation Table'!H114</f>
        <v>SO2</v>
      </c>
      <c r="J127" s="116" t="s">
        <v>1015</v>
      </c>
      <c r="K127" s="135"/>
      <c r="L127" s="116" t="str">
        <f t="shared" si="5"/>
        <v>NA</v>
      </c>
      <c r="M127" s="116" t="s">
        <v>1110</v>
      </c>
    </row>
    <row r="128" spans="2:17" ht="16.149999999999999" customHeight="1" x14ac:dyDescent="0.35">
      <c r="B128" s="332"/>
      <c r="C128" s="338" t="str">
        <f ca="1">'Translation Table'!H136</f>
        <v>Onshore: Oil Sands Mining and Ore Processing</v>
      </c>
      <c r="D128" s="338"/>
      <c r="E128" s="338"/>
      <c r="F128" s="317" t="str">
        <f ca="1">'Translation Table'!H200</f>
        <v>Crude bitumen production from surface mining</v>
      </c>
      <c r="G128" s="318"/>
      <c r="H128" s="223" t="str">
        <f ca="1">INDIRECT("'Lookup Tables'!B"&amp;74+P128) &amp;""</f>
        <v>E+03 m^3/y</v>
      </c>
      <c r="I128" s="216" t="str">
        <f ca="1">'Translation Table'!H108</f>
        <v>CH4</v>
      </c>
      <c r="J128" s="116">
        <v>0.74</v>
      </c>
      <c r="K128" s="135"/>
      <c r="L128" s="116">
        <f t="shared" si="5"/>
        <v>0.74</v>
      </c>
      <c r="M128" s="116" t="s">
        <v>1032</v>
      </c>
      <c r="P128" s="133">
        <v>3</v>
      </c>
      <c r="Q128" s="133">
        <f ca="1">(INDIRECT("'Lookup Tables'!D"&amp;74+P128) &amp;"")*G128</f>
        <v>0</v>
      </c>
    </row>
    <row r="129" spans="2:17" ht="16.149999999999999" customHeight="1" x14ac:dyDescent="0.35">
      <c r="B129" s="332"/>
      <c r="C129" s="338"/>
      <c r="D129" s="338"/>
      <c r="E129" s="338"/>
      <c r="F129" s="317"/>
      <c r="G129" s="318"/>
      <c r="H129" s="224"/>
      <c r="I129" s="216" t="str">
        <f ca="1">'Translation Table'!H109</f>
        <v>CO2</v>
      </c>
      <c r="J129" s="116">
        <v>7.56</v>
      </c>
      <c r="K129" s="135"/>
      <c r="L129" s="116">
        <f t="shared" si="5"/>
        <v>7.56</v>
      </c>
      <c r="M129" s="116" t="s">
        <v>1032</v>
      </c>
    </row>
    <row r="130" spans="2:17" ht="16.149999999999999" customHeight="1" x14ac:dyDescent="0.35">
      <c r="B130" s="332"/>
      <c r="C130" s="338"/>
      <c r="D130" s="338"/>
      <c r="E130" s="338"/>
      <c r="F130" s="317"/>
      <c r="G130" s="318"/>
      <c r="H130" s="224"/>
      <c r="I130" s="216" t="str">
        <f ca="1">'Translation Table'!H110</f>
        <v>N2O</v>
      </c>
      <c r="J130" s="116">
        <v>1.1E-5</v>
      </c>
      <c r="K130" s="135"/>
      <c r="L130" s="116">
        <f t="shared" si="5"/>
        <v>1.1E-5</v>
      </c>
      <c r="M130" s="116" t="s">
        <v>1032</v>
      </c>
    </row>
    <row r="131" spans="2:17" ht="16.149999999999999" customHeight="1" x14ac:dyDescent="0.35">
      <c r="B131" s="332"/>
      <c r="C131" s="338"/>
      <c r="D131" s="338"/>
      <c r="E131" s="338"/>
      <c r="F131" s="317"/>
      <c r="G131" s="318"/>
      <c r="H131" s="224"/>
      <c r="I131" s="216" t="str">
        <f ca="1">'Translation Table'!H111</f>
        <v>NOx</v>
      </c>
      <c r="J131" s="116" t="s">
        <v>1015</v>
      </c>
      <c r="K131" s="135"/>
      <c r="L131" s="116" t="str">
        <f t="shared" si="5"/>
        <v>NA</v>
      </c>
      <c r="M131" s="116" t="s">
        <v>1032</v>
      </c>
    </row>
    <row r="132" spans="2:17" ht="16.149999999999999" customHeight="1" x14ac:dyDescent="0.35">
      <c r="B132" s="332"/>
      <c r="C132" s="338"/>
      <c r="D132" s="338"/>
      <c r="E132" s="338"/>
      <c r="F132" s="317"/>
      <c r="G132" s="318"/>
      <c r="H132" s="224"/>
      <c r="I132" s="216" t="str">
        <f ca="1">'Translation Table'!H112</f>
        <v>CO</v>
      </c>
      <c r="J132" s="116" t="s">
        <v>1015</v>
      </c>
      <c r="K132" s="135"/>
      <c r="L132" s="116" t="str">
        <f t="shared" si="5"/>
        <v>NA</v>
      </c>
      <c r="M132" s="116" t="s">
        <v>1032</v>
      </c>
    </row>
    <row r="133" spans="2:17" ht="16.149999999999999" customHeight="1" x14ac:dyDescent="0.35">
      <c r="B133" s="332"/>
      <c r="C133" s="338"/>
      <c r="D133" s="338"/>
      <c r="E133" s="338"/>
      <c r="F133" s="317"/>
      <c r="G133" s="318"/>
      <c r="H133" s="227"/>
      <c r="I133" s="216" t="str">
        <f ca="1">'Translation Table'!H113</f>
        <v>NMVOC</v>
      </c>
      <c r="J133" s="116">
        <v>0.65</v>
      </c>
      <c r="K133" s="135"/>
      <c r="L133" s="116">
        <f t="shared" si="5"/>
        <v>0.65</v>
      </c>
      <c r="M133" s="116" t="s">
        <v>1032</v>
      </c>
    </row>
    <row r="134" spans="2:17" ht="16.149999999999999" customHeight="1" x14ac:dyDescent="0.35">
      <c r="B134" s="332"/>
      <c r="C134" s="338"/>
      <c r="D134" s="338"/>
      <c r="E134" s="338"/>
      <c r="F134" s="317"/>
      <c r="G134" s="318"/>
      <c r="H134" s="222"/>
      <c r="I134" s="216" t="str">
        <f ca="1">'Translation Table'!H114</f>
        <v>SO2</v>
      </c>
      <c r="J134" s="116" t="s">
        <v>1015</v>
      </c>
      <c r="K134" s="135"/>
      <c r="L134" s="116" t="str">
        <f t="shared" si="5"/>
        <v>NA</v>
      </c>
      <c r="M134" s="116" t="s">
        <v>1032</v>
      </c>
    </row>
    <row r="135" spans="2:17" ht="16.149999999999999" customHeight="1" x14ac:dyDescent="0.35">
      <c r="B135" s="332"/>
      <c r="C135" s="338" t="str">
        <f ca="1">'Translation Table'!H137</f>
        <v>Onshore: Oil Sands Upgrading</v>
      </c>
      <c r="D135" s="338"/>
      <c r="E135" s="338"/>
      <c r="F135" s="317" t="str">
        <f ca="1">'Translation Table'!H201</f>
        <v>Synthetic crude oil production</v>
      </c>
      <c r="G135" s="318"/>
      <c r="H135" s="223" t="str">
        <f ca="1">INDIRECT("'Lookup Tables'!B"&amp;74+P135) &amp;""</f>
        <v>E+03 m^3/y</v>
      </c>
      <c r="I135" s="216" t="str">
        <f ca="1">'Translation Table'!H108</f>
        <v>CH4</v>
      </c>
      <c r="J135" s="116">
        <v>0.13</v>
      </c>
      <c r="K135" s="135"/>
      <c r="L135" s="116">
        <f t="shared" si="5"/>
        <v>0.13</v>
      </c>
      <c r="M135" s="116" t="s">
        <v>1032</v>
      </c>
      <c r="P135" s="133">
        <v>3</v>
      </c>
      <c r="Q135" s="133">
        <f ca="1">(INDIRECT("'Lookup Tables'!D"&amp;74+P135) &amp;"")*G135</f>
        <v>0</v>
      </c>
    </row>
    <row r="136" spans="2:17" ht="16.149999999999999" customHeight="1" x14ac:dyDescent="0.35">
      <c r="B136" s="332"/>
      <c r="C136" s="338"/>
      <c r="D136" s="338"/>
      <c r="E136" s="338"/>
      <c r="F136" s="317"/>
      <c r="G136" s="318"/>
      <c r="H136" s="224"/>
      <c r="I136" s="216" t="str">
        <f ca="1">'Translation Table'!H109</f>
        <v>CO2</v>
      </c>
      <c r="J136" s="116">
        <v>90.73</v>
      </c>
      <c r="K136" s="135"/>
      <c r="L136" s="116">
        <f t="shared" si="5"/>
        <v>90.73</v>
      </c>
      <c r="M136" s="116" t="s">
        <v>1032</v>
      </c>
    </row>
    <row r="137" spans="2:17" ht="16.149999999999999" customHeight="1" x14ac:dyDescent="0.35">
      <c r="B137" s="332"/>
      <c r="C137" s="338"/>
      <c r="D137" s="338"/>
      <c r="E137" s="338"/>
      <c r="F137" s="317"/>
      <c r="G137" s="318"/>
      <c r="H137" s="224"/>
      <c r="I137" s="216" t="str">
        <f ca="1">'Translation Table'!H110</f>
        <v>N2O</v>
      </c>
      <c r="J137" s="116">
        <v>2.8E-5</v>
      </c>
      <c r="K137" s="135"/>
      <c r="L137" s="116">
        <f t="shared" si="5"/>
        <v>2.8E-5</v>
      </c>
      <c r="M137" s="116" t="s">
        <v>1032</v>
      </c>
    </row>
    <row r="138" spans="2:17" ht="16.149999999999999" customHeight="1" x14ac:dyDescent="0.35">
      <c r="B138" s="332"/>
      <c r="C138" s="338"/>
      <c r="D138" s="338"/>
      <c r="E138" s="338"/>
      <c r="F138" s="317"/>
      <c r="G138" s="318"/>
      <c r="H138" s="224"/>
      <c r="I138" s="216" t="str">
        <f ca="1">'Translation Table'!H111</f>
        <v>NOx</v>
      </c>
      <c r="J138" s="116" t="s">
        <v>1015</v>
      </c>
      <c r="K138" s="135"/>
      <c r="L138" s="116" t="str">
        <f t="shared" si="5"/>
        <v>NA</v>
      </c>
      <c r="M138" s="116" t="s">
        <v>1032</v>
      </c>
    </row>
    <row r="139" spans="2:17" ht="16.149999999999999" customHeight="1" x14ac:dyDescent="0.35">
      <c r="B139" s="332"/>
      <c r="C139" s="338"/>
      <c r="D139" s="338"/>
      <c r="E139" s="338"/>
      <c r="F139" s="317"/>
      <c r="G139" s="318"/>
      <c r="H139" s="224"/>
      <c r="I139" s="216" t="str">
        <f ca="1">'Translation Table'!H112</f>
        <v>CO</v>
      </c>
      <c r="J139" s="116" t="s">
        <v>1015</v>
      </c>
      <c r="K139" s="135"/>
      <c r="L139" s="116" t="str">
        <f t="shared" si="5"/>
        <v>NA</v>
      </c>
      <c r="M139" s="116" t="s">
        <v>1032</v>
      </c>
    </row>
    <row r="140" spans="2:17" ht="16.149999999999999" customHeight="1" x14ac:dyDescent="0.35">
      <c r="B140" s="332"/>
      <c r="C140" s="338"/>
      <c r="D140" s="338"/>
      <c r="E140" s="338"/>
      <c r="F140" s="317"/>
      <c r="G140" s="318"/>
      <c r="H140" s="227"/>
      <c r="I140" s="216" t="str">
        <f ca="1">'Translation Table'!H113</f>
        <v>NMVOC</v>
      </c>
      <c r="J140" s="116">
        <v>7.0000000000000007E-2</v>
      </c>
      <c r="K140" s="135"/>
      <c r="L140" s="116">
        <f t="shared" si="5"/>
        <v>7.0000000000000007E-2</v>
      </c>
      <c r="M140" s="116" t="s">
        <v>1032</v>
      </c>
    </row>
    <row r="141" spans="2:17" ht="16.149999999999999" customHeight="1" x14ac:dyDescent="0.35">
      <c r="B141" s="332"/>
      <c r="C141" s="338"/>
      <c r="D141" s="338"/>
      <c r="E141" s="338"/>
      <c r="F141" s="317"/>
      <c r="G141" s="318"/>
      <c r="H141" s="222"/>
      <c r="I141" s="216" t="str">
        <f ca="1">'Translation Table'!H114</f>
        <v>SO2</v>
      </c>
      <c r="J141" s="116" t="s">
        <v>1015</v>
      </c>
      <c r="K141" s="135"/>
      <c r="L141" s="116" t="str">
        <f t="shared" si="5"/>
        <v>NA</v>
      </c>
      <c r="M141" s="116" t="s">
        <v>1032</v>
      </c>
    </row>
    <row r="142" spans="2:17" ht="16.149999999999999" customHeight="1" x14ac:dyDescent="0.35">
      <c r="B142" s="332"/>
      <c r="C142" s="338" t="str">
        <f ca="1">'Translation Table'!H138</f>
        <v>Offshore</v>
      </c>
      <c r="D142" s="338"/>
      <c r="E142" s="338"/>
      <c r="F142" s="317" t="str">
        <f ca="1">'Translation Table'!H202</f>
        <v>Offshore oil production</v>
      </c>
      <c r="G142" s="318"/>
      <c r="H142" s="223" t="str">
        <f ca="1">INDIRECT("'Lookup Tables'!B"&amp;74+P142) &amp;""</f>
        <v>E+03 m^3/y</v>
      </c>
      <c r="I142" s="216" t="str">
        <f ca="1">'Translation Table'!H108</f>
        <v>CH4</v>
      </c>
      <c r="J142" s="116">
        <v>2.46</v>
      </c>
      <c r="K142" s="135"/>
      <c r="L142" s="116">
        <f t="shared" si="5"/>
        <v>2.46</v>
      </c>
      <c r="M142" s="116" t="s">
        <v>1032</v>
      </c>
      <c r="P142" s="133">
        <v>3</v>
      </c>
      <c r="Q142" s="133">
        <f ca="1">(INDIRECT("'Lookup Tables'!D"&amp;74+P142) &amp;"")*G142</f>
        <v>0</v>
      </c>
    </row>
    <row r="143" spans="2:17" ht="16.149999999999999" customHeight="1" x14ac:dyDescent="0.35">
      <c r="B143" s="332"/>
      <c r="C143" s="338"/>
      <c r="D143" s="338"/>
      <c r="E143" s="338"/>
      <c r="F143" s="317"/>
      <c r="G143" s="318"/>
      <c r="H143" s="224"/>
      <c r="I143" s="216" t="str">
        <f ca="1">'Translation Table'!H109</f>
        <v>CO2</v>
      </c>
      <c r="J143" s="116">
        <v>4.08</v>
      </c>
      <c r="K143" s="135"/>
      <c r="L143" s="116">
        <f t="shared" si="5"/>
        <v>4.08</v>
      </c>
      <c r="M143" s="116" t="s">
        <v>1032</v>
      </c>
    </row>
    <row r="144" spans="2:17" ht="16.149999999999999" customHeight="1" x14ac:dyDescent="0.35">
      <c r="B144" s="332"/>
      <c r="C144" s="338"/>
      <c r="D144" s="338"/>
      <c r="E144" s="338"/>
      <c r="F144" s="317"/>
      <c r="G144" s="318"/>
      <c r="H144" s="224"/>
      <c r="I144" s="216" t="str">
        <f ca="1">'Translation Table'!H110</f>
        <v>N2O</v>
      </c>
      <c r="J144" s="116">
        <v>1.5999999999999999E-5</v>
      </c>
      <c r="K144" s="135"/>
      <c r="L144" s="116">
        <f t="shared" si="5"/>
        <v>1.5999999999999999E-5</v>
      </c>
      <c r="M144" s="116" t="s">
        <v>1032</v>
      </c>
    </row>
    <row r="145" spans="2:17" ht="16.149999999999999" customHeight="1" x14ac:dyDescent="0.35">
      <c r="B145" s="332"/>
      <c r="C145" s="338"/>
      <c r="D145" s="338"/>
      <c r="E145" s="338"/>
      <c r="F145" s="317"/>
      <c r="G145" s="318"/>
      <c r="H145" s="224"/>
      <c r="I145" s="216" t="str">
        <f ca="1">'Translation Table'!H111</f>
        <v>NOx</v>
      </c>
      <c r="J145" s="116" t="s">
        <v>1015</v>
      </c>
      <c r="K145" s="135"/>
      <c r="L145" s="116" t="str">
        <f t="shared" si="5"/>
        <v>NA</v>
      </c>
      <c r="M145" s="116" t="s">
        <v>1032</v>
      </c>
    </row>
    <row r="146" spans="2:17" ht="16.149999999999999" customHeight="1" x14ac:dyDescent="0.35">
      <c r="B146" s="332"/>
      <c r="C146" s="338"/>
      <c r="D146" s="338"/>
      <c r="E146" s="338"/>
      <c r="F146" s="317"/>
      <c r="G146" s="318"/>
      <c r="H146" s="224"/>
      <c r="I146" s="216" t="str">
        <f ca="1">'Translation Table'!H112</f>
        <v>CO</v>
      </c>
      <c r="J146" s="116" t="s">
        <v>1015</v>
      </c>
      <c r="K146" s="135"/>
      <c r="L146" s="116" t="str">
        <f t="shared" si="5"/>
        <v>NA</v>
      </c>
      <c r="M146" s="116" t="s">
        <v>1032</v>
      </c>
    </row>
    <row r="147" spans="2:17" ht="16.149999999999999" customHeight="1" x14ac:dyDescent="0.35">
      <c r="B147" s="332"/>
      <c r="C147" s="338"/>
      <c r="D147" s="338"/>
      <c r="E147" s="338"/>
      <c r="F147" s="317"/>
      <c r="G147" s="318"/>
      <c r="H147" s="227"/>
      <c r="I147" s="216" t="str">
        <f ca="1">'Translation Table'!H113</f>
        <v>NMVOC</v>
      </c>
      <c r="J147" s="116">
        <v>1.06</v>
      </c>
      <c r="K147" s="135"/>
      <c r="L147" s="116">
        <f t="shared" si="5"/>
        <v>1.06</v>
      </c>
      <c r="M147" s="116" t="s">
        <v>1032</v>
      </c>
    </row>
    <row r="148" spans="2:17" ht="16.149999999999999" customHeight="1" x14ac:dyDescent="0.35">
      <c r="B148" s="332"/>
      <c r="C148" s="338"/>
      <c r="D148" s="338"/>
      <c r="E148" s="338"/>
      <c r="F148" s="317"/>
      <c r="G148" s="318"/>
      <c r="H148" s="228"/>
      <c r="I148" s="216" t="str">
        <f ca="1">'Translation Table'!H114</f>
        <v>SO2</v>
      </c>
      <c r="J148" s="116" t="s">
        <v>1015</v>
      </c>
      <c r="K148" s="135"/>
      <c r="L148" s="116" t="str">
        <f t="shared" si="5"/>
        <v>NA</v>
      </c>
      <c r="M148" s="116" t="s">
        <v>1032</v>
      </c>
    </row>
    <row r="149" spans="2:17" ht="16.149999999999999" customHeight="1" x14ac:dyDescent="0.35">
      <c r="B149" s="319" t="str">
        <f ca="1">'Translation Table'!H117</f>
        <v>Oil Transport</v>
      </c>
      <c r="C149" s="338" t="str">
        <f ca="1">'Translation Table'!H139</f>
        <v>Pipelines</v>
      </c>
      <c r="D149" s="338"/>
      <c r="E149" s="338"/>
      <c r="F149" s="317" t="str">
        <f ca="1">'Translation Table'!H203</f>
        <v>Oil transported by pipeline</v>
      </c>
      <c r="G149" s="318"/>
      <c r="H149" s="223" t="str">
        <f ca="1">INDIRECT("'Lookup Tables'!B"&amp;74+P149) &amp;""</f>
        <v>E+03 m^3/y</v>
      </c>
      <c r="I149" s="216" t="str">
        <f ca="1">'Translation Table'!H108</f>
        <v>CH4</v>
      </c>
      <c r="J149" s="116">
        <v>5.4000000000000003E-3</v>
      </c>
      <c r="K149" s="135"/>
      <c r="L149" s="116">
        <f t="shared" si="5"/>
        <v>5.4000000000000003E-3</v>
      </c>
      <c r="M149" s="116" t="s">
        <v>1032</v>
      </c>
      <c r="P149" s="133">
        <v>3</v>
      </c>
      <c r="Q149" s="133">
        <f ca="1">(INDIRECT("'Lookup Tables'!D"&amp;74+P149) &amp;"")*G149</f>
        <v>0</v>
      </c>
    </row>
    <row r="150" spans="2:17" ht="16.149999999999999" customHeight="1" x14ac:dyDescent="0.35">
      <c r="B150" s="320"/>
      <c r="C150" s="338"/>
      <c r="D150" s="338"/>
      <c r="E150" s="338"/>
      <c r="F150" s="317"/>
      <c r="G150" s="318"/>
      <c r="H150" s="224"/>
      <c r="I150" s="216" t="str">
        <f ca="1">'Translation Table'!H109</f>
        <v>CO2</v>
      </c>
      <c r="J150" s="116">
        <v>4.8999999999999998E-4</v>
      </c>
      <c r="K150" s="135"/>
      <c r="L150" s="116">
        <f t="shared" si="5"/>
        <v>4.8999999999999998E-4</v>
      </c>
      <c r="M150" s="116" t="s">
        <v>1032</v>
      </c>
    </row>
    <row r="151" spans="2:17" ht="16.149999999999999" customHeight="1" x14ac:dyDescent="0.35">
      <c r="B151" s="320"/>
      <c r="C151" s="338"/>
      <c r="D151" s="338"/>
      <c r="E151" s="338"/>
      <c r="F151" s="317"/>
      <c r="G151" s="318"/>
      <c r="H151" s="224"/>
      <c r="I151" s="216" t="str">
        <f ca="1">'Translation Table'!H110</f>
        <v>N2O</v>
      </c>
      <c r="J151" s="116" t="s">
        <v>1015</v>
      </c>
      <c r="K151" s="135"/>
      <c r="L151" s="116" t="str">
        <f t="shared" ref="L151:L214" si="6">IF(OR(K151="",K151="NA"),J151,K151)</f>
        <v>NA</v>
      </c>
      <c r="M151" s="116" t="s">
        <v>1032</v>
      </c>
    </row>
    <row r="152" spans="2:17" ht="16.149999999999999" customHeight="1" x14ac:dyDescent="0.35">
      <c r="B152" s="320"/>
      <c r="C152" s="338"/>
      <c r="D152" s="338"/>
      <c r="E152" s="338"/>
      <c r="F152" s="317"/>
      <c r="G152" s="318"/>
      <c r="H152" s="224"/>
      <c r="I152" s="216" t="str">
        <f ca="1">'Translation Table'!H111</f>
        <v>NOx</v>
      </c>
      <c r="J152" s="116" t="s">
        <v>1015</v>
      </c>
      <c r="K152" s="135"/>
      <c r="L152" s="116" t="str">
        <f t="shared" si="6"/>
        <v>NA</v>
      </c>
      <c r="M152" s="116" t="s">
        <v>1032</v>
      </c>
    </row>
    <row r="153" spans="2:17" ht="16.149999999999999" customHeight="1" x14ac:dyDescent="0.35">
      <c r="B153" s="320"/>
      <c r="C153" s="338"/>
      <c r="D153" s="338"/>
      <c r="E153" s="338"/>
      <c r="F153" s="317"/>
      <c r="G153" s="318"/>
      <c r="H153" s="224"/>
      <c r="I153" s="216" t="str">
        <f ca="1">'Translation Table'!H112</f>
        <v>CO</v>
      </c>
      <c r="J153" s="116" t="s">
        <v>1015</v>
      </c>
      <c r="K153" s="135"/>
      <c r="L153" s="116" t="str">
        <f t="shared" si="6"/>
        <v>NA</v>
      </c>
      <c r="M153" s="116" t="s">
        <v>1032</v>
      </c>
    </row>
    <row r="154" spans="2:17" ht="16.149999999999999" customHeight="1" x14ac:dyDescent="0.35">
      <c r="B154" s="320"/>
      <c r="C154" s="338"/>
      <c r="D154" s="338"/>
      <c r="E154" s="338"/>
      <c r="F154" s="317"/>
      <c r="G154" s="318"/>
      <c r="H154" s="227"/>
      <c r="I154" s="216" t="str">
        <f ca="1">'Translation Table'!H113</f>
        <v>NMVOC</v>
      </c>
      <c r="J154" s="116">
        <v>5.3999999999999999E-2</v>
      </c>
      <c r="K154" s="135"/>
      <c r="L154" s="116">
        <f t="shared" si="6"/>
        <v>5.3999999999999999E-2</v>
      </c>
      <c r="M154" s="116" t="s">
        <v>1032</v>
      </c>
    </row>
    <row r="155" spans="2:17" ht="16.149999999999999" customHeight="1" x14ac:dyDescent="0.35">
      <c r="B155" s="320"/>
      <c r="C155" s="338"/>
      <c r="D155" s="338"/>
      <c r="E155" s="338"/>
      <c r="F155" s="317"/>
      <c r="G155" s="318"/>
      <c r="H155" s="222"/>
      <c r="I155" s="216" t="str">
        <f ca="1">'Translation Table'!H114</f>
        <v>SO2</v>
      </c>
      <c r="J155" s="116" t="s">
        <v>1015</v>
      </c>
      <c r="K155" s="135"/>
      <c r="L155" s="116" t="str">
        <f t="shared" si="6"/>
        <v>NA</v>
      </c>
      <c r="M155" s="116" t="s">
        <v>1032</v>
      </c>
    </row>
    <row r="156" spans="2:17" ht="16.149999999999999" customHeight="1" x14ac:dyDescent="0.35">
      <c r="B156" s="320"/>
      <c r="C156" s="338" t="str">
        <f ca="1">'Translation Table'!H140</f>
        <v>Tanker Trucks and Rail Cars</v>
      </c>
      <c r="D156" s="338"/>
      <c r="E156" s="338"/>
      <c r="F156" s="317" t="str">
        <f ca="1">'Translation Table'!H204</f>
        <v>Oil transported by Tanker Truck or rail car</v>
      </c>
      <c r="G156" s="318"/>
      <c r="H156" s="223" t="str">
        <f ca="1">INDIRECT("'Lookup Tables'!B"&amp;74+P156) &amp;""</f>
        <v>E+03 m^3/y</v>
      </c>
      <c r="I156" s="216" t="str">
        <f ca="1">'Translation Table'!H108</f>
        <v>CH4</v>
      </c>
      <c r="J156" s="116">
        <v>2.5000000000000001E-2</v>
      </c>
      <c r="K156" s="135"/>
      <c r="L156" s="116">
        <f t="shared" si="6"/>
        <v>2.5000000000000001E-2</v>
      </c>
      <c r="M156" s="116" t="s">
        <v>1032</v>
      </c>
      <c r="P156" s="133">
        <v>3</v>
      </c>
      <c r="Q156" s="133">
        <f ca="1">(INDIRECT("'Lookup Tables'!D"&amp;74+P156) &amp;"")*G156</f>
        <v>0</v>
      </c>
    </row>
    <row r="157" spans="2:17" ht="16.149999999999999" customHeight="1" x14ac:dyDescent="0.35">
      <c r="B157" s="320"/>
      <c r="C157" s="338"/>
      <c r="D157" s="338"/>
      <c r="E157" s="338"/>
      <c r="F157" s="317"/>
      <c r="G157" s="318"/>
      <c r="H157" s="224"/>
      <c r="I157" s="216" t="str">
        <f ca="1">'Translation Table'!H109</f>
        <v>CO2</v>
      </c>
      <c r="J157" s="116">
        <v>2.3E-3</v>
      </c>
      <c r="K157" s="135"/>
      <c r="L157" s="116">
        <f t="shared" si="6"/>
        <v>2.3E-3</v>
      </c>
      <c r="M157" s="116" t="s">
        <v>1032</v>
      </c>
    </row>
    <row r="158" spans="2:17" ht="16.149999999999999" customHeight="1" x14ac:dyDescent="0.35">
      <c r="B158" s="320"/>
      <c r="C158" s="338"/>
      <c r="D158" s="338"/>
      <c r="E158" s="338"/>
      <c r="F158" s="317"/>
      <c r="G158" s="318"/>
      <c r="H158" s="224"/>
      <c r="I158" s="216" t="str">
        <f ca="1">'Translation Table'!H110</f>
        <v>N2O</v>
      </c>
      <c r="J158" s="116" t="s">
        <v>1015</v>
      </c>
      <c r="K158" s="135"/>
      <c r="L158" s="116" t="str">
        <f t="shared" si="6"/>
        <v>NA</v>
      </c>
      <c r="M158" s="116" t="s">
        <v>1032</v>
      </c>
    </row>
    <row r="159" spans="2:17" ht="16.149999999999999" customHeight="1" x14ac:dyDescent="0.35">
      <c r="B159" s="320"/>
      <c r="C159" s="338"/>
      <c r="D159" s="338"/>
      <c r="E159" s="338"/>
      <c r="F159" s="317"/>
      <c r="G159" s="318"/>
      <c r="H159" s="224"/>
      <c r="I159" s="216" t="str">
        <f ca="1">'Translation Table'!H111</f>
        <v>NOx</v>
      </c>
      <c r="J159" s="116" t="s">
        <v>1015</v>
      </c>
      <c r="K159" s="135"/>
      <c r="L159" s="116" t="str">
        <f t="shared" si="6"/>
        <v>NA</v>
      </c>
      <c r="M159" s="116" t="s">
        <v>1032</v>
      </c>
    </row>
    <row r="160" spans="2:17" ht="16.149999999999999" customHeight="1" x14ac:dyDescent="0.35">
      <c r="B160" s="320"/>
      <c r="C160" s="338"/>
      <c r="D160" s="338"/>
      <c r="E160" s="338"/>
      <c r="F160" s="317"/>
      <c r="G160" s="318"/>
      <c r="H160" s="224"/>
      <c r="I160" s="216" t="str">
        <f ca="1">'Translation Table'!H112</f>
        <v>CO</v>
      </c>
      <c r="J160" s="116" t="s">
        <v>1015</v>
      </c>
      <c r="K160" s="135"/>
      <c r="L160" s="116" t="str">
        <f t="shared" si="6"/>
        <v>NA</v>
      </c>
      <c r="M160" s="116" t="s">
        <v>1032</v>
      </c>
    </row>
    <row r="161" spans="2:17" ht="16.149999999999999" customHeight="1" x14ac:dyDescent="0.35">
      <c r="B161" s="320"/>
      <c r="C161" s="338"/>
      <c r="D161" s="338"/>
      <c r="E161" s="338"/>
      <c r="F161" s="317"/>
      <c r="G161" s="318"/>
      <c r="H161" s="227"/>
      <c r="I161" s="216" t="str">
        <f ca="1">'Translation Table'!H113</f>
        <v>NMVOC</v>
      </c>
      <c r="J161" s="116">
        <v>0.25</v>
      </c>
      <c r="K161" s="135"/>
      <c r="L161" s="116">
        <f t="shared" si="6"/>
        <v>0.25</v>
      </c>
      <c r="M161" s="116" t="s">
        <v>1032</v>
      </c>
    </row>
    <row r="162" spans="2:17" ht="16.149999999999999" customHeight="1" x14ac:dyDescent="0.35">
      <c r="B162" s="320"/>
      <c r="C162" s="338"/>
      <c r="D162" s="338"/>
      <c r="E162" s="338"/>
      <c r="F162" s="317"/>
      <c r="G162" s="318"/>
      <c r="H162" s="222"/>
      <c r="I162" s="216" t="str">
        <f ca="1">'Translation Table'!H114</f>
        <v>SO2</v>
      </c>
      <c r="J162" s="116" t="s">
        <v>1015</v>
      </c>
      <c r="K162" s="135"/>
      <c r="L162" s="116" t="str">
        <f t="shared" si="6"/>
        <v>NA</v>
      </c>
      <c r="M162" s="116" t="s">
        <v>1032</v>
      </c>
    </row>
    <row r="163" spans="2:17" ht="16.149999999999999" customHeight="1" x14ac:dyDescent="0.35">
      <c r="B163" s="320"/>
      <c r="C163" s="338" t="str">
        <f ca="1">'Translation Table'!H141</f>
        <v>Tanks</v>
      </c>
      <c r="D163" s="338"/>
      <c r="E163" s="338"/>
      <c r="F163" s="317" t="str">
        <f ca="1">'Translation Table'!H205</f>
        <v>Crude oil feed</v>
      </c>
      <c r="G163" s="318"/>
      <c r="H163" s="223" t="str">
        <f ca="1">INDIRECT("'Lookup Tables'!B"&amp;74+P163) &amp;""</f>
        <v>E+03 m^3/y</v>
      </c>
      <c r="I163" s="216" t="str">
        <f ca="1">'Translation Table'!H108</f>
        <v>CH4</v>
      </c>
      <c r="J163" s="116">
        <v>2E-3</v>
      </c>
      <c r="K163" s="135"/>
      <c r="L163" s="116">
        <f t="shared" si="6"/>
        <v>2E-3</v>
      </c>
      <c r="M163" s="116" t="s">
        <v>1032</v>
      </c>
      <c r="P163" s="133">
        <v>3</v>
      </c>
      <c r="Q163" s="133">
        <f ca="1">(INDIRECT("'Lookup Tables'!D"&amp;74+P163) &amp;"")*G163</f>
        <v>0</v>
      </c>
    </row>
    <row r="164" spans="2:17" ht="16.149999999999999" customHeight="1" x14ac:dyDescent="0.35">
      <c r="B164" s="320"/>
      <c r="C164" s="338"/>
      <c r="D164" s="338"/>
      <c r="E164" s="338"/>
      <c r="F164" s="317"/>
      <c r="G164" s="318"/>
      <c r="H164" s="224"/>
      <c r="I164" s="216" t="str">
        <f ca="1">'Translation Table'!H109</f>
        <v>CO2</v>
      </c>
      <c r="J164" s="116" t="s">
        <v>1015</v>
      </c>
      <c r="K164" s="135"/>
      <c r="L164" s="116" t="str">
        <f t="shared" si="6"/>
        <v>NA</v>
      </c>
      <c r="M164" s="116" t="s">
        <v>1032</v>
      </c>
    </row>
    <row r="165" spans="2:17" ht="16.149999999999999" customHeight="1" x14ac:dyDescent="0.35">
      <c r="B165" s="320"/>
      <c r="C165" s="338"/>
      <c r="D165" s="338"/>
      <c r="E165" s="338"/>
      <c r="F165" s="317"/>
      <c r="G165" s="318"/>
      <c r="H165" s="224"/>
      <c r="I165" s="216" t="str">
        <f ca="1">'Translation Table'!H110</f>
        <v>N2O</v>
      </c>
      <c r="J165" s="116" t="s">
        <v>1015</v>
      </c>
      <c r="K165" s="135"/>
      <c r="L165" s="116" t="str">
        <f t="shared" si="6"/>
        <v>NA</v>
      </c>
      <c r="M165" s="116" t="s">
        <v>1032</v>
      </c>
    </row>
    <row r="166" spans="2:17" ht="16.149999999999999" customHeight="1" x14ac:dyDescent="0.35">
      <c r="B166" s="320"/>
      <c r="C166" s="338"/>
      <c r="D166" s="338"/>
      <c r="E166" s="338"/>
      <c r="F166" s="317"/>
      <c r="G166" s="318"/>
      <c r="H166" s="224"/>
      <c r="I166" s="216" t="str">
        <f ca="1">'Translation Table'!H111</f>
        <v>NOx</v>
      </c>
      <c r="J166" s="116" t="s">
        <v>1015</v>
      </c>
      <c r="K166" s="135"/>
      <c r="L166" s="116" t="str">
        <f t="shared" si="6"/>
        <v>NA</v>
      </c>
      <c r="M166" s="116" t="s">
        <v>1032</v>
      </c>
    </row>
    <row r="167" spans="2:17" ht="16.149999999999999" customHeight="1" x14ac:dyDescent="0.35">
      <c r="B167" s="320"/>
      <c r="C167" s="338"/>
      <c r="D167" s="338"/>
      <c r="E167" s="338"/>
      <c r="F167" s="317"/>
      <c r="G167" s="318"/>
      <c r="H167" s="224"/>
      <c r="I167" s="216" t="str">
        <f ca="1">'Translation Table'!H112</f>
        <v>CO</v>
      </c>
      <c r="J167" s="116" t="s">
        <v>1015</v>
      </c>
      <c r="K167" s="135"/>
      <c r="L167" s="116" t="str">
        <f t="shared" si="6"/>
        <v>NA</v>
      </c>
      <c r="M167" s="116" t="s">
        <v>1032</v>
      </c>
    </row>
    <row r="168" spans="2:17" ht="16.149999999999999" customHeight="1" x14ac:dyDescent="0.35">
      <c r="B168" s="320"/>
      <c r="C168" s="338"/>
      <c r="D168" s="338"/>
      <c r="E168" s="338"/>
      <c r="F168" s="317"/>
      <c r="G168" s="318"/>
      <c r="H168" s="227"/>
      <c r="I168" s="216" t="str">
        <f ca="1">'Translation Table'!H113</f>
        <v>NMVOC</v>
      </c>
      <c r="J168" s="116" t="s">
        <v>1015</v>
      </c>
      <c r="K168" s="135"/>
      <c r="L168" s="116" t="str">
        <f t="shared" si="6"/>
        <v>NA</v>
      </c>
      <c r="M168" s="116" t="s">
        <v>1032</v>
      </c>
    </row>
    <row r="169" spans="2:17" ht="16.149999999999999" customHeight="1" x14ac:dyDescent="0.35">
      <c r="B169" s="320"/>
      <c r="C169" s="338"/>
      <c r="D169" s="338"/>
      <c r="E169" s="338"/>
      <c r="F169" s="317"/>
      <c r="G169" s="318"/>
      <c r="H169" s="222"/>
      <c r="I169" s="216" t="str">
        <f ca="1">'Translation Table'!H114</f>
        <v>SO2</v>
      </c>
      <c r="J169" s="116" t="s">
        <v>1015</v>
      </c>
      <c r="K169" s="135"/>
      <c r="L169" s="116" t="str">
        <f t="shared" si="6"/>
        <v>NA</v>
      </c>
      <c r="M169" s="116" t="s">
        <v>1032</v>
      </c>
    </row>
    <row r="170" spans="2:17" ht="16.149999999999999" customHeight="1" x14ac:dyDescent="0.35">
      <c r="B170" s="320"/>
      <c r="C170" s="338" t="str">
        <f ca="1">'Translation Table'!H142</f>
        <v>Loading of offshore production on tanker ships without VRU</v>
      </c>
      <c r="D170" s="338"/>
      <c r="E170" s="338"/>
      <c r="F170" s="317" t="str">
        <f ca="1">'Translation Table'!H206</f>
        <v>Oil loaded onto tanker ship</v>
      </c>
      <c r="G170" s="318"/>
      <c r="H170" s="223" t="str">
        <f ca="1">INDIRECT("'Lookup Tables'!B"&amp;74+P170) &amp;""</f>
        <v>E+03 m^3/y</v>
      </c>
      <c r="I170" s="216" t="str">
        <f ca="1">'Translation Table'!H108</f>
        <v>CH4</v>
      </c>
      <c r="J170" s="116">
        <v>6.5000000000000002E-2</v>
      </c>
      <c r="K170" s="135" t="s">
        <v>1015</v>
      </c>
      <c r="L170" s="116">
        <f t="shared" si="6"/>
        <v>6.5000000000000002E-2</v>
      </c>
      <c r="M170" s="116" t="s">
        <v>1032</v>
      </c>
      <c r="P170" s="133">
        <v>3</v>
      </c>
      <c r="Q170" s="133">
        <f ca="1">(INDIRECT("'Lookup Tables'!D"&amp;74+P170) &amp;"")*G170</f>
        <v>0</v>
      </c>
    </row>
    <row r="171" spans="2:17" ht="16.149999999999999" customHeight="1" x14ac:dyDescent="0.35">
      <c r="B171" s="320"/>
      <c r="C171" s="338"/>
      <c r="D171" s="338"/>
      <c r="E171" s="338"/>
      <c r="F171" s="317"/>
      <c r="G171" s="318"/>
      <c r="H171" s="224"/>
      <c r="I171" s="216" t="str">
        <f ca="1">'Translation Table'!H109</f>
        <v>CO2</v>
      </c>
      <c r="J171" s="116" t="s">
        <v>1041</v>
      </c>
      <c r="K171" s="135" t="s">
        <v>1015</v>
      </c>
      <c r="L171" s="116" t="str">
        <f t="shared" si="6"/>
        <v>ND</v>
      </c>
      <c r="M171" s="116" t="s">
        <v>1032</v>
      </c>
    </row>
    <row r="172" spans="2:17" ht="16.149999999999999" customHeight="1" x14ac:dyDescent="0.35">
      <c r="B172" s="320"/>
      <c r="C172" s="338"/>
      <c r="D172" s="338"/>
      <c r="E172" s="338"/>
      <c r="F172" s="317"/>
      <c r="G172" s="318"/>
      <c r="H172" s="224"/>
      <c r="I172" s="216" t="str">
        <f ca="1">'Translation Table'!H110</f>
        <v>N2O</v>
      </c>
      <c r="J172" s="116" t="s">
        <v>1041</v>
      </c>
      <c r="K172" s="135" t="s">
        <v>1015</v>
      </c>
      <c r="L172" s="116" t="str">
        <f t="shared" si="6"/>
        <v>ND</v>
      </c>
      <c r="M172" s="116" t="s">
        <v>1032</v>
      </c>
    </row>
    <row r="173" spans="2:17" ht="16.149999999999999" customHeight="1" x14ac:dyDescent="0.35">
      <c r="B173" s="320"/>
      <c r="C173" s="338"/>
      <c r="D173" s="338"/>
      <c r="E173" s="338"/>
      <c r="F173" s="317"/>
      <c r="G173" s="318"/>
      <c r="H173" s="224"/>
      <c r="I173" s="216" t="str">
        <f ca="1">'Translation Table'!H111</f>
        <v>NOx</v>
      </c>
      <c r="J173" s="116" t="s">
        <v>1041</v>
      </c>
      <c r="K173" s="135" t="s">
        <v>1015</v>
      </c>
      <c r="L173" s="116" t="str">
        <f t="shared" si="6"/>
        <v>ND</v>
      </c>
      <c r="M173" s="116" t="s">
        <v>1032</v>
      </c>
    </row>
    <row r="174" spans="2:17" ht="16.149999999999999" customHeight="1" x14ac:dyDescent="0.35">
      <c r="B174" s="320"/>
      <c r="C174" s="338"/>
      <c r="D174" s="338"/>
      <c r="E174" s="338"/>
      <c r="F174" s="317"/>
      <c r="G174" s="318"/>
      <c r="H174" s="224"/>
      <c r="I174" s="216" t="str">
        <f ca="1">'Translation Table'!H112</f>
        <v>CO</v>
      </c>
      <c r="J174" s="116" t="s">
        <v>1041</v>
      </c>
      <c r="K174" s="135" t="s">
        <v>1015</v>
      </c>
      <c r="L174" s="116" t="str">
        <f t="shared" si="6"/>
        <v>ND</v>
      </c>
      <c r="M174" s="116" t="s">
        <v>1032</v>
      </c>
    </row>
    <row r="175" spans="2:17" ht="16.149999999999999" customHeight="1" x14ac:dyDescent="0.35">
      <c r="B175" s="320"/>
      <c r="C175" s="338"/>
      <c r="D175" s="338"/>
      <c r="E175" s="338"/>
      <c r="F175" s="317"/>
      <c r="G175" s="318"/>
      <c r="H175" s="227"/>
      <c r="I175" s="216" t="str">
        <f ca="1">'Translation Table'!H113</f>
        <v>NMVOC</v>
      </c>
      <c r="J175" s="116">
        <v>1.1000000000000001</v>
      </c>
      <c r="K175" s="135" t="s">
        <v>1015</v>
      </c>
      <c r="L175" s="116">
        <f t="shared" si="6"/>
        <v>1.1000000000000001</v>
      </c>
      <c r="M175" s="116" t="s">
        <v>1032</v>
      </c>
    </row>
    <row r="176" spans="2:17" ht="16.149999999999999" customHeight="1" x14ac:dyDescent="0.35">
      <c r="B176" s="320"/>
      <c r="C176" s="338"/>
      <c r="D176" s="338"/>
      <c r="E176" s="338"/>
      <c r="F176" s="317"/>
      <c r="G176" s="318"/>
      <c r="H176" s="222"/>
      <c r="I176" s="216" t="str">
        <f ca="1">'Translation Table'!H114</f>
        <v>SO2</v>
      </c>
      <c r="J176" s="116" t="s">
        <v>1041</v>
      </c>
      <c r="K176" s="135" t="s">
        <v>1015</v>
      </c>
      <c r="L176" s="116" t="str">
        <f t="shared" si="6"/>
        <v>ND</v>
      </c>
      <c r="M176" s="116" t="s">
        <v>1032</v>
      </c>
    </row>
    <row r="177" spans="2:17" ht="16.149999999999999" customHeight="1" x14ac:dyDescent="0.35">
      <c r="B177" s="320"/>
      <c r="C177" s="338" t="str">
        <f ca="1">'Translation Table'!H143</f>
        <v>Loading of offshore production on tanker ships with VRU</v>
      </c>
      <c r="D177" s="338"/>
      <c r="E177" s="338"/>
      <c r="F177" s="317" t="str">
        <f ca="1">'Translation Table'!H207</f>
        <v>Oil loaded onto tanker ship</v>
      </c>
      <c r="G177" s="318"/>
      <c r="H177" s="223" t="str">
        <f ca="1">INDIRECT("'Lookup Tables'!B"&amp;74+P177) &amp;""</f>
        <v>E+03 m^3/y</v>
      </c>
      <c r="I177" s="216" t="str">
        <f ca="1">'Translation Table'!H108</f>
        <v>CH4</v>
      </c>
      <c r="J177" s="116">
        <v>0.04</v>
      </c>
      <c r="K177" s="135" t="s">
        <v>1015</v>
      </c>
      <c r="L177" s="116">
        <f t="shared" si="6"/>
        <v>0.04</v>
      </c>
      <c r="M177" s="116" t="s">
        <v>1032</v>
      </c>
      <c r="P177" s="133">
        <v>3</v>
      </c>
      <c r="Q177" s="133">
        <f ca="1">(INDIRECT("'Lookup Tables'!D"&amp;74+P177) &amp;"")*G177</f>
        <v>0</v>
      </c>
    </row>
    <row r="178" spans="2:17" ht="16.149999999999999" customHeight="1" x14ac:dyDescent="0.35">
      <c r="B178" s="320"/>
      <c r="C178" s="338"/>
      <c r="D178" s="338"/>
      <c r="E178" s="338"/>
      <c r="F178" s="317"/>
      <c r="G178" s="318"/>
      <c r="H178" s="224"/>
      <c r="I178" s="216" t="str">
        <f ca="1">'Translation Table'!H109</f>
        <v>CO2</v>
      </c>
      <c r="J178" s="116" t="s">
        <v>1041</v>
      </c>
      <c r="K178" s="135" t="s">
        <v>1015</v>
      </c>
      <c r="L178" s="116" t="str">
        <f t="shared" si="6"/>
        <v>ND</v>
      </c>
      <c r="M178" s="116" t="s">
        <v>1032</v>
      </c>
    </row>
    <row r="179" spans="2:17" ht="16.149999999999999" customHeight="1" x14ac:dyDescent="0.35">
      <c r="B179" s="320"/>
      <c r="C179" s="338"/>
      <c r="D179" s="338"/>
      <c r="E179" s="338"/>
      <c r="F179" s="317"/>
      <c r="G179" s="318"/>
      <c r="H179" s="224"/>
      <c r="I179" s="216" t="str">
        <f ca="1">'Translation Table'!H110</f>
        <v>N2O</v>
      </c>
      <c r="J179" s="116" t="s">
        <v>1041</v>
      </c>
      <c r="K179" s="135" t="s">
        <v>1015</v>
      </c>
      <c r="L179" s="116" t="str">
        <f t="shared" si="6"/>
        <v>ND</v>
      </c>
      <c r="M179" s="116" t="s">
        <v>1032</v>
      </c>
    </row>
    <row r="180" spans="2:17" ht="16.149999999999999" customHeight="1" x14ac:dyDescent="0.35">
      <c r="B180" s="320"/>
      <c r="C180" s="338"/>
      <c r="D180" s="338"/>
      <c r="E180" s="338"/>
      <c r="F180" s="317"/>
      <c r="G180" s="318"/>
      <c r="H180" s="224"/>
      <c r="I180" s="216" t="str">
        <f ca="1">'Translation Table'!H111</f>
        <v>NOx</v>
      </c>
      <c r="J180" s="116" t="s">
        <v>1041</v>
      </c>
      <c r="K180" s="135" t="s">
        <v>1015</v>
      </c>
      <c r="L180" s="116" t="str">
        <f t="shared" si="6"/>
        <v>ND</v>
      </c>
      <c r="M180" s="116" t="s">
        <v>1032</v>
      </c>
    </row>
    <row r="181" spans="2:17" ht="16.149999999999999" customHeight="1" x14ac:dyDescent="0.35">
      <c r="B181" s="320"/>
      <c r="C181" s="338"/>
      <c r="D181" s="338"/>
      <c r="E181" s="338"/>
      <c r="F181" s="317"/>
      <c r="G181" s="318"/>
      <c r="H181" s="224"/>
      <c r="I181" s="216" t="str">
        <f ca="1">'Translation Table'!H112</f>
        <v>CO</v>
      </c>
      <c r="J181" s="116" t="s">
        <v>1041</v>
      </c>
      <c r="K181" s="135" t="s">
        <v>1015</v>
      </c>
      <c r="L181" s="116" t="str">
        <f t="shared" si="6"/>
        <v>ND</v>
      </c>
      <c r="M181" s="116" t="s">
        <v>1032</v>
      </c>
    </row>
    <row r="182" spans="2:17" ht="16.149999999999999" customHeight="1" x14ac:dyDescent="0.35">
      <c r="B182" s="320"/>
      <c r="C182" s="338"/>
      <c r="D182" s="338"/>
      <c r="E182" s="338"/>
      <c r="F182" s="317"/>
      <c r="G182" s="318"/>
      <c r="H182" s="227"/>
      <c r="I182" s="216" t="str">
        <f ca="1">'Translation Table'!H113</f>
        <v>NMVOC</v>
      </c>
      <c r="J182" s="116">
        <v>0.16</v>
      </c>
      <c r="K182" s="135" t="s">
        <v>1015</v>
      </c>
      <c r="L182" s="116">
        <f t="shared" si="6"/>
        <v>0.16</v>
      </c>
      <c r="M182" s="116" t="s">
        <v>1032</v>
      </c>
    </row>
    <row r="183" spans="2:17" ht="16.149999999999999" customHeight="1" x14ac:dyDescent="0.35">
      <c r="B183" s="320"/>
      <c r="C183" s="338"/>
      <c r="D183" s="338"/>
      <c r="E183" s="338"/>
      <c r="F183" s="317"/>
      <c r="G183" s="318"/>
      <c r="H183" s="222"/>
      <c r="I183" s="216" t="str">
        <f ca="1">'Translation Table'!H114</f>
        <v>SO2</v>
      </c>
      <c r="J183" s="116" t="s">
        <v>1041</v>
      </c>
      <c r="K183" s="135" t="s">
        <v>1015</v>
      </c>
      <c r="L183" s="116" t="str">
        <f t="shared" si="6"/>
        <v>ND</v>
      </c>
      <c r="M183" s="116" t="s">
        <v>1032</v>
      </c>
    </row>
    <row r="184" spans="2:17" ht="16.149999999999999" customHeight="1" x14ac:dyDescent="0.35">
      <c r="B184" s="320"/>
      <c r="C184" s="338" t="str">
        <f ca="1">'Translation Table'!H144</f>
        <v>Offshore All</v>
      </c>
      <c r="D184" s="338"/>
      <c r="E184" s="338"/>
      <c r="F184" s="317" t="str">
        <f ca="1">'Translation Table'!H208</f>
        <v>Oil loaded onto tanker ship</v>
      </c>
      <c r="G184" s="318"/>
      <c r="H184" s="223" t="str">
        <f ca="1">INDIRECT("'Lookup Tables'!B"&amp;74+P184) &amp;""</f>
        <v>E+03 m^3/y</v>
      </c>
      <c r="I184" s="216" t="str">
        <f ca="1">'Translation Table'!H108</f>
        <v>CH4</v>
      </c>
      <c r="J184" s="116" t="s">
        <v>1015</v>
      </c>
      <c r="K184" s="135"/>
      <c r="L184" s="116" t="str">
        <f t="shared" si="6"/>
        <v>NA</v>
      </c>
      <c r="M184" s="116" t="s">
        <v>1032</v>
      </c>
      <c r="P184" s="133">
        <v>3</v>
      </c>
      <c r="Q184" s="133">
        <f ca="1">(INDIRECT("'Lookup Tables'!D"&amp;74+P184) &amp;"")*G184</f>
        <v>0</v>
      </c>
    </row>
    <row r="185" spans="2:17" ht="16.149999999999999" customHeight="1" x14ac:dyDescent="0.35">
      <c r="B185" s="320"/>
      <c r="C185" s="338"/>
      <c r="D185" s="338"/>
      <c r="E185" s="338"/>
      <c r="F185" s="317"/>
      <c r="G185" s="318"/>
      <c r="H185" s="224"/>
      <c r="I185" s="216" t="str">
        <f ca="1">'Translation Table'!H109</f>
        <v>CO2</v>
      </c>
      <c r="J185" s="116" t="s">
        <v>1015</v>
      </c>
      <c r="K185" s="135"/>
      <c r="L185" s="116" t="str">
        <f t="shared" si="6"/>
        <v>NA</v>
      </c>
      <c r="M185" s="116" t="s">
        <v>1032</v>
      </c>
    </row>
    <row r="186" spans="2:17" ht="16.149999999999999" customHeight="1" x14ac:dyDescent="0.35">
      <c r="B186" s="320"/>
      <c r="C186" s="338"/>
      <c r="D186" s="338"/>
      <c r="E186" s="338"/>
      <c r="F186" s="317"/>
      <c r="G186" s="318"/>
      <c r="H186" s="224"/>
      <c r="I186" s="216" t="str">
        <f ca="1">'Translation Table'!H110</f>
        <v>N2O</v>
      </c>
      <c r="J186" s="116" t="s">
        <v>1015</v>
      </c>
      <c r="K186" s="135"/>
      <c r="L186" s="116" t="str">
        <f t="shared" si="6"/>
        <v>NA</v>
      </c>
      <c r="M186" s="116" t="s">
        <v>1032</v>
      </c>
    </row>
    <row r="187" spans="2:17" ht="16.149999999999999" customHeight="1" x14ac:dyDescent="0.35">
      <c r="B187" s="320"/>
      <c r="C187" s="338"/>
      <c r="D187" s="338"/>
      <c r="E187" s="338"/>
      <c r="F187" s="317"/>
      <c r="G187" s="318"/>
      <c r="H187" s="224"/>
      <c r="I187" s="216" t="str">
        <f ca="1">'Translation Table'!H111</f>
        <v>NOx</v>
      </c>
      <c r="J187" s="116" t="s">
        <v>1015</v>
      </c>
      <c r="K187" s="135"/>
      <c r="L187" s="116" t="str">
        <f t="shared" si="6"/>
        <v>NA</v>
      </c>
      <c r="M187" s="116" t="s">
        <v>1032</v>
      </c>
    </row>
    <row r="188" spans="2:17" ht="16.149999999999999" customHeight="1" x14ac:dyDescent="0.35">
      <c r="B188" s="320"/>
      <c r="C188" s="338"/>
      <c r="D188" s="338"/>
      <c r="E188" s="338"/>
      <c r="F188" s="317"/>
      <c r="G188" s="318"/>
      <c r="H188" s="224"/>
      <c r="I188" s="216" t="str">
        <f ca="1">'Translation Table'!H112</f>
        <v>CO</v>
      </c>
      <c r="J188" s="116" t="s">
        <v>1015</v>
      </c>
      <c r="K188" s="135"/>
      <c r="L188" s="116" t="str">
        <f t="shared" si="6"/>
        <v>NA</v>
      </c>
      <c r="M188" s="116" t="s">
        <v>1032</v>
      </c>
    </row>
    <row r="189" spans="2:17" ht="16.149999999999999" customHeight="1" x14ac:dyDescent="0.35">
      <c r="B189" s="320"/>
      <c r="C189" s="338"/>
      <c r="D189" s="338"/>
      <c r="E189" s="338"/>
      <c r="F189" s="317"/>
      <c r="G189" s="318"/>
      <c r="H189" s="227"/>
      <c r="I189" s="216" t="str">
        <f ca="1">'Translation Table'!H113</f>
        <v>NMVOC</v>
      </c>
      <c r="J189" s="116" t="s">
        <v>1015</v>
      </c>
      <c r="K189" s="135"/>
      <c r="L189" s="116" t="str">
        <f t="shared" si="6"/>
        <v>NA</v>
      </c>
      <c r="M189" s="116" t="s">
        <v>1032</v>
      </c>
    </row>
    <row r="190" spans="2:17" ht="16.149999999999999" customHeight="1" x14ac:dyDescent="0.35">
      <c r="B190" s="339"/>
      <c r="C190" s="338"/>
      <c r="D190" s="338"/>
      <c r="E190" s="338"/>
      <c r="F190" s="317"/>
      <c r="G190" s="318"/>
      <c r="H190" s="222"/>
      <c r="I190" s="216" t="str">
        <f ca="1">'Translation Table'!H114</f>
        <v>SO2</v>
      </c>
      <c r="J190" s="116" t="s">
        <v>1015</v>
      </c>
      <c r="K190" s="135"/>
      <c r="L190" s="116" t="str">
        <f t="shared" si="6"/>
        <v>NA</v>
      </c>
      <c r="M190" s="116" t="s">
        <v>1032</v>
      </c>
    </row>
    <row r="191" spans="2:17" ht="16.149999999999999" customHeight="1" x14ac:dyDescent="0.35">
      <c r="B191" s="332" t="str">
        <f ca="1">'Translation Table'!H118</f>
        <v>Oil Refining</v>
      </c>
      <c r="C191" s="338" t="str">
        <f ca="1">'Translation Table'!H145</f>
        <v>All</v>
      </c>
      <c r="D191" s="338"/>
      <c r="E191" s="338"/>
      <c r="F191" s="317" t="str">
        <f ca="1">'Translation Table'!H209</f>
        <v>Oil refined.</v>
      </c>
      <c r="G191" s="318"/>
      <c r="H191" s="223" t="str">
        <f ca="1">INDIRECT("'Lookup Tables'!B"&amp;74+P191) &amp;""</f>
        <v>E+03 m^3/y</v>
      </c>
      <c r="I191" s="216" t="str">
        <f ca="1">'Translation Table'!H108</f>
        <v>CH4</v>
      </c>
      <c r="J191" s="116">
        <v>0.03</v>
      </c>
      <c r="K191" s="135"/>
      <c r="L191" s="116">
        <f t="shared" si="6"/>
        <v>0.03</v>
      </c>
      <c r="M191" s="116" t="s">
        <v>1032</v>
      </c>
      <c r="P191" s="133">
        <v>3</v>
      </c>
      <c r="Q191" s="133">
        <f ca="1">(INDIRECT("'Lookup Tables'!D"&amp;74+P191) &amp;"")*G191</f>
        <v>0</v>
      </c>
    </row>
    <row r="192" spans="2:17" ht="16.149999999999999" customHeight="1" x14ac:dyDescent="0.35">
      <c r="B192" s="332"/>
      <c r="C192" s="338"/>
      <c r="D192" s="338"/>
      <c r="E192" s="338"/>
      <c r="F192" s="317"/>
      <c r="G192" s="318"/>
      <c r="H192" s="224"/>
      <c r="I192" s="216" t="str">
        <f ca="1">'Translation Table'!H109</f>
        <v>CO2</v>
      </c>
      <c r="J192" s="116">
        <v>5.85</v>
      </c>
      <c r="K192" s="135"/>
      <c r="L192" s="116">
        <f t="shared" si="6"/>
        <v>5.85</v>
      </c>
      <c r="M192" s="116" t="s">
        <v>1032</v>
      </c>
    </row>
    <row r="193" spans="2:17" ht="16.149999999999999" customHeight="1" x14ac:dyDescent="0.35">
      <c r="B193" s="332"/>
      <c r="C193" s="338"/>
      <c r="D193" s="338"/>
      <c r="E193" s="338"/>
      <c r="F193" s="317"/>
      <c r="G193" s="318"/>
      <c r="H193" s="224"/>
      <c r="I193" s="216" t="str">
        <f ca="1">'Translation Table'!H110</f>
        <v>N2O</v>
      </c>
      <c r="J193" s="116">
        <v>8.7700000000000004E-5</v>
      </c>
      <c r="K193" s="135"/>
      <c r="L193" s="116">
        <f t="shared" si="6"/>
        <v>8.7700000000000004E-5</v>
      </c>
      <c r="M193" s="116" t="s">
        <v>1032</v>
      </c>
    </row>
    <row r="194" spans="2:17" ht="16.149999999999999" customHeight="1" x14ac:dyDescent="0.35">
      <c r="B194" s="332"/>
      <c r="C194" s="338"/>
      <c r="D194" s="338"/>
      <c r="E194" s="338"/>
      <c r="F194" s="317"/>
      <c r="G194" s="318"/>
      <c r="H194" s="224"/>
      <c r="I194" s="216" t="str">
        <f ca="1">'Translation Table'!H111</f>
        <v>NOx</v>
      </c>
      <c r="J194" s="116" t="s">
        <v>1015</v>
      </c>
      <c r="K194" s="135"/>
      <c r="L194" s="116" t="str">
        <f t="shared" si="6"/>
        <v>NA</v>
      </c>
      <c r="M194" s="116" t="s">
        <v>1032</v>
      </c>
    </row>
    <row r="195" spans="2:17" ht="16.149999999999999" customHeight="1" x14ac:dyDescent="0.35">
      <c r="B195" s="332"/>
      <c r="C195" s="338"/>
      <c r="D195" s="338"/>
      <c r="E195" s="338"/>
      <c r="F195" s="317"/>
      <c r="G195" s="318"/>
      <c r="H195" s="224"/>
      <c r="I195" s="216" t="str">
        <f ca="1">'Translation Table'!H112</f>
        <v>CO</v>
      </c>
      <c r="J195" s="116" t="s">
        <v>1015</v>
      </c>
      <c r="K195" s="135"/>
      <c r="L195" s="116" t="str">
        <f t="shared" si="6"/>
        <v>NA</v>
      </c>
      <c r="M195" s="116" t="s">
        <v>1032</v>
      </c>
    </row>
    <row r="196" spans="2:17" ht="16.149999999999999" customHeight="1" x14ac:dyDescent="0.35">
      <c r="B196" s="332"/>
      <c r="C196" s="338"/>
      <c r="D196" s="338"/>
      <c r="E196" s="338"/>
      <c r="F196" s="317"/>
      <c r="G196" s="318"/>
      <c r="H196" s="227"/>
      <c r="I196" s="216" t="str">
        <f ca="1">'Translation Table'!H113</f>
        <v>NMVOC</v>
      </c>
      <c r="J196" s="116">
        <v>0.26</v>
      </c>
      <c r="K196" s="135"/>
      <c r="L196" s="116">
        <f t="shared" si="6"/>
        <v>0.26</v>
      </c>
      <c r="M196" s="116" t="s">
        <v>1032</v>
      </c>
    </row>
    <row r="197" spans="2:17" ht="16.149999999999999" customHeight="1" x14ac:dyDescent="0.35">
      <c r="B197" s="332"/>
      <c r="C197" s="338"/>
      <c r="D197" s="338"/>
      <c r="E197" s="338"/>
      <c r="F197" s="317"/>
      <c r="G197" s="318"/>
      <c r="H197" s="222"/>
      <c r="I197" s="216" t="str">
        <f ca="1">'Translation Table'!H114</f>
        <v>SO2</v>
      </c>
      <c r="J197" s="116" t="s">
        <v>1015</v>
      </c>
      <c r="K197" s="135"/>
      <c r="L197" s="116" t="str">
        <f t="shared" si="6"/>
        <v>NA</v>
      </c>
      <c r="M197" s="116" t="s">
        <v>1032</v>
      </c>
    </row>
    <row r="198" spans="2:17" ht="16.149999999999999" customHeight="1" x14ac:dyDescent="0.35">
      <c r="B198" s="332" t="str">
        <f ca="1">'Translation Table'!H119</f>
        <v>Distribution of Oil Products</v>
      </c>
      <c r="C198" s="338" t="str">
        <f ca="1">'Translation Table'!H146</f>
        <v>Gasoline</v>
      </c>
      <c r="D198" s="338"/>
      <c r="E198" s="338"/>
      <c r="F198" s="317" t="str">
        <f ca="1">'Translation Table'!H210</f>
        <v>Product consumed</v>
      </c>
      <c r="G198" s="318"/>
      <c r="H198" s="223" t="str">
        <f ca="1">INDIRECT("'Lookup Tables'!B"&amp;74+P198) &amp;""</f>
        <v>E+03 m^3/y</v>
      </c>
      <c r="I198" s="216" t="str">
        <f ca="1">'Translation Table'!H108</f>
        <v>CH4</v>
      </c>
      <c r="J198" s="116" t="s">
        <v>1015</v>
      </c>
      <c r="K198" s="135"/>
      <c r="L198" s="116" t="str">
        <f t="shared" si="6"/>
        <v>NA</v>
      </c>
      <c r="M198" s="116" t="s">
        <v>1032</v>
      </c>
      <c r="P198" s="133">
        <v>3</v>
      </c>
      <c r="Q198" s="133">
        <f ca="1">(INDIRECT("'Lookup Tables'!D"&amp;74+P198) &amp;"")*G198</f>
        <v>0</v>
      </c>
    </row>
    <row r="199" spans="2:17" ht="16.149999999999999" customHeight="1" x14ac:dyDescent="0.35">
      <c r="B199" s="332"/>
      <c r="C199" s="338"/>
      <c r="D199" s="338"/>
      <c r="E199" s="338"/>
      <c r="F199" s="317"/>
      <c r="G199" s="318"/>
      <c r="H199" s="224"/>
      <c r="I199" s="216" t="str">
        <f ca="1">'Translation Table'!H109</f>
        <v>CO2</v>
      </c>
      <c r="J199" s="116" t="s">
        <v>1015</v>
      </c>
      <c r="K199" s="135"/>
      <c r="L199" s="116" t="str">
        <f t="shared" si="6"/>
        <v>NA</v>
      </c>
      <c r="M199" s="116" t="s">
        <v>1032</v>
      </c>
    </row>
    <row r="200" spans="2:17" ht="16.149999999999999" customHeight="1" x14ac:dyDescent="0.35">
      <c r="B200" s="332"/>
      <c r="C200" s="338"/>
      <c r="D200" s="338"/>
      <c r="E200" s="338"/>
      <c r="F200" s="317"/>
      <c r="G200" s="318"/>
      <c r="H200" s="224"/>
      <c r="I200" s="216" t="str">
        <f ca="1">'Translation Table'!H110</f>
        <v>N2O</v>
      </c>
      <c r="J200" s="116" t="s">
        <v>1015</v>
      </c>
      <c r="K200" s="135"/>
      <c r="L200" s="116" t="str">
        <f t="shared" si="6"/>
        <v>NA</v>
      </c>
      <c r="M200" s="116" t="s">
        <v>1032</v>
      </c>
    </row>
    <row r="201" spans="2:17" ht="16.149999999999999" customHeight="1" x14ac:dyDescent="0.35">
      <c r="B201" s="332"/>
      <c r="C201" s="338"/>
      <c r="D201" s="338"/>
      <c r="E201" s="338"/>
      <c r="F201" s="317"/>
      <c r="G201" s="318"/>
      <c r="H201" s="224"/>
      <c r="I201" s="216" t="str">
        <f ca="1">'Translation Table'!H111</f>
        <v>NOx</v>
      </c>
      <c r="J201" s="116" t="s">
        <v>1015</v>
      </c>
      <c r="K201" s="135"/>
      <c r="L201" s="116" t="str">
        <f t="shared" si="6"/>
        <v>NA</v>
      </c>
      <c r="M201" s="116" t="s">
        <v>1032</v>
      </c>
    </row>
    <row r="202" spans="2:17" ht="16.149999999999999" customHeight="1" x14ac:dyDescent="0.35">
      <c r="B202" s="332"/>
      <c r="C202" s="338"/>
      <c r="D202" s="338"/>
      <c r="E202" s="338"/>
      <c r="F202" s="317"/>
      <c r="G202" s="318"/>
      <c r="H202" s="224"/>
      <c r="I202" s="216" t="str">
        <f ca="1">'Translation Table'!H112</f>
        <v>CO</v>
      </c>
      <c r="J202" s="116" t="s">
        <v>1015</v>
      </c>
      <c r="K202" s="135"/>
      <c r="L202" s="116" t="str">
        <f t="shared" si="6"/>
        <v>NA</v>
      </c>
      <c r="M202" s="116" t="s">
        <v>1032</v>
      </c>
    </row>
    <row r="203" spans="2:17" ht="16.149999999999999" customHeight="1" x14ac:dyDescent="0.35">
      <c r="B203" s="332"/>
      <c r="C203" s="338"/>
      <c r="D203" s="338"/>
      <c r="E203" s="338"/>
      <c r="F203" s="317"/>
      <c r="G203" s="318"/>
      <c r="H203" s="227"/>
      <c r="I203" s="216" t="str">
        <f ca="1">'Translation Table'!H113</f>
        <v>NMVOC</v>
      </c>
      <c r="J203" s="116">
        <v>2.27</v>
      </c>
      <c r="K203" s="135"/>
      <c r="L203" s="116">
        <f t="shared" si="6"/>
        <v>2.27</v>
      </c>
      <c r="M203" s="116" t="s">
        <v>1032</v>
      </c>
    </row>
    <row r="204" spans="2:17" ht="16.149999999999999" customHeight="1" x14ac:dyDescent="0.35">
      <c r="B204" s="332"/>
      <c r="C204" s="338"/>
      <c r="D204" s="338"/>
      <c r="E204" s="338"/>
      <c r="F204" s="317"/>
      <c r="G204" s="318"/>
      <c r="H204" s="222"/>
      <c r="I204" s="216" t="str">
        <f ca="1">'Translation Table'!H114</f>
        <v>SO2</v>
      </c>
      <c r="J204" s="116" t="s">
        <v>1015</v>
      </c>
      <c r="K204" s="135"/>
      <c r="L204" s="116" t="str">
        <f t="shared" si="6"/>
        <v>NA</v>
      </c>
      <c r="M204" s="116" t="s">
        <v>1032</v>
      </c>
    </row>
    <row r="205" spans="2:17" ht="16.149999999999999" customHeight="1" x14ac:dyDescent="0.35">
      <c r="B205" s="332"/>
      <c r="C205" s="338" t="str">
        <f ca="1">'Translation Table'!H147</f>
        <v>Other (e.g. diesel, aviation fuel, jet kerosene)</v>
      </c>
      <c r="D205" s="338"/>
      <c r="E205" s="338"/>
      <c r="F205" s="317" t="str">
        <f ca="1">'Translation Table'!H211</f>
        <v>Product consumed</v>
      </c>
      <c r="G205" s="318"/>
      <c r="H205" s="223" t="str">
        <f ca="1">INDIRECT("'Lookup Tables'!B"&amp;74+P205) &amp;""</f>
        <v>E+03 m^3/y</v>
      </c>
      <c r="I205" s="216" t="str">
        <f ca="1">'Translation Table'!H108</f>
        <v>CH4</v>
      </c>
      <c r="J205" s="116" t="s">
        <v>1015</v>
      </c>
      <c r="K205" s="135"/>
      <c r="L205" s="116" t="str">
        <f t="shared" si="6"/>
        <v>NA</v>
      </c>
      <c r="M205" s="116" t="s">
        <v>1032</v>
      </c>
      <c r="P205" s="133">
        <v>3</v>
      </c>
      <c r="Q205" s="133">
        <f ca="1">(INDIRECT("'Lookup Tables'!D"&amp;74+P205) &amp;"")*G205</f>
        <v>0</v>
      </c>
    </row>
    <row r="206" spans="2:17" ht="16.149999999999999" customHeight="1" x14ac:dyDescent="0.35">
      <c r="B206" s="332"/>
      <c r="C206" s="338"/>
      <c r="D206" s="338"/>
      <c r="E206" s="338"/>
      <c r="F206" s="317"/>
      <c r="G206" s="318"/>
      <c r="H206" s="224"/>
      <c r="I206" s="216" t="str">
        <f ca="1">'Translation Table'!H109</f>
        <v>CO2</v>
      </c>
      <c r="J206" s="116" t="s">
        <v>1015</v>
      </c>
      <c r="K206" s="135"/>
      <c r="L206" s="116" t="str">
        <f t="shared" si="6"/>
        <v>NA</v>
      </c>
      <c r="M206" s="116" t="s">
        <v>1032</v>
      </c>
    </row>
    <row r="207" spans="2:17" ht="16.149999999999999" customHeight="1" x14ac:dyDescent="0.35">
      <c r="B207" s="332"/>
      <c r="C207" s="338"/>
      <c r="D207" s="338"/>
      <c r="E207" s="338"/>
      <c r="F207" s="317"/>
      <c r="G207" s="318"/>
      <c r="H207" s="224"/>
      <c r="I207" s="216" t="str">
        <f ca="1">'Translation Table'!H110</f>
        <v>N2O</v>
      </c>
      <c r="J207" s="116" t="s">
        <v>1015</v>
      </c>
      <c r="K207" s="135"/>
      <c r="L207" s="116" t="str">
        <f t="shared" si="6"/>
        <v>NA</v>
      </c>
      <c r="M207" s="116" t="s">
        <v>1032</v>
      </c>
    </row>
    <row r="208" spans="2:17" ht="16.149999999999999" customHeight="1" x14ac:dyDescent="0.35">
      <c r="B208" s="332"/>
      <c r="C208" s="338"/>
      <c r="D208" s="338"/>
      <c r="E208" s="338"/>
      <c r="F208" s="317"/>
      <c r="G208" s="318"/>
      <c r="H208" s="224"/>
      <c r="I208" s="216" t="str">
        <f ca="1">'Translation Table'!H111</f>
        <v>NOx</v>
      </c>
      <c r="J208" s="116" t="s">
        <v>1015</v>
      </c>
      <c r="K208" s="135"/>
      <c r="L208" s="116" t="str">
        <f t="shared" si="6"/>
        <v>NA</v>
      </c>
      <c r="M208" s="116" t="s">
        <v>1032</v>
      </c>
    </row>
    <row r="209" spans="2:17" ht="16.149999999999999" customHeight="1" x14ac:dyDescent="0.35">
      <c r="B209" s="332"/>
      <c r="C209" s="338"/>
      <c r="D209" s="338"/>
      <c r="E209" s="338"/>
      <c r="F209" s="317"/>
      <c r="G209" s="318"/>
      <c r="H209" s="224"/>
      <c r="I209" s="216" t="str">
        <f ca="1">'Translation Table'!H112</f>
        <v>CO</v>
      </c>
      <c r="J209" s="116" t="s">
        <v>1015</v>
      </c>
      <c r="K209" s="135"/>
      <c r="L209" s="116" t="str">
        <f t="shared" si="6"/>
        <v>NA</v>
      </c>
      <c r="M209" s="116" t="s">
        <v>1032</v>
      </c>
    </row>
    <row r="210" spans="2:17" ht="16.149999999999999" customHeight="1" x14ac:dyDescent="0.35">
      <c r="B210" s="332"/>
      <c r="C210" s="338"/>
      <c r="D210" s="338"/>
      <c r="E210" s="338"/>
      <c r="F210" s="317"/>
      <c r="G210" s="318"/>
      <c r="H210" s="227"/>
      <c r="I210" s="216" t="str">
        <f ca="1">'Translation Table'!H113</f>
        <v>NMVOC</v>
      </c>
      <c r="J210" s="116">
        <v>0.15</v>
      </c>
      <c r="K210" s="135"/>
      <c r="L210" s="116">
        <f t="shared" si="6"/>
        <v>0.15</v>
      </c>
      <c r="M210" s="116" t="s">
        <v>1032</v>
      </c>
    </row>
    <row r="211" spans="2:17" ht="16.149999999999999" customHeight="1" x14ac:dyDescent="0.35">
      <c r="B211" s="332"/>
      <c r="C211" s="338"/>
      <c r="D211" s="338"/>
      <c r="E211" s="338"/>
      <c r="F211" s="317"/>
      <c r="G211" s="318"/>
      <c r="H211" s="222"/>
      <c r="I211" s="216" t="str">
        <f ca="1">'Translation Table'!H114</f>
        <v>SO2</v>
      </c>
      <c r="J211" s="116" t="s">
        <v>1015</v>
      </c>
      <c r="K211" s="135"/>
      <c r="L211" s="116" t="str">
        <f t="shared" si="6"/>
        <v>NA</v>
      </c>
      <c r="M211" s="116" t="s">
        <v>1032</v>
      </c>
    </row>
    <row r="212" spans="2:17" ht="16.149999999999999" customHeight="1" x14ac:dyDescent="0.35">
      <c r="B212" s="332" t="str">
        <f ca="1">'Translation Table'!H120</f>
        <v>Oil Other</v>
      </c>
      <c r="C212" s="338" t="str">
        <f ca="1">'Translation Table'!H148</f>
        <v>All</v>
      </c>
      <c r="D212" s="338"/>
      <c r="E212" s="338"/>
      <c r="F212" s="332" t="str">
        <f ca="1">'Translation Table'!H212</f>
        <v>Other</v>
      </c>
      <c r="G212" s="318"/>
      <c r="H212" s="229" t="str">
        <f ca="1">H213</f>
        <v>Well Count</v>
      </c>
      <c r="I212" s="216" t="str">
        <f ca="1">'Translation Table'!H108</f>
        <v>CH4</v>
      </c>
      <c r="J212" s="116" t="s">
        <v>1015</v>
      </c>
      <c r="K212" s="135"/>
      <c r="L212" s="116" t="str">
        <f t="shared" si="6"/>
        <v>NA</v>
      </c>
      <c r="M212" s="116" t="s">
        <v>1110</v>
      </c>
      <c r="Q212" s="133">
        <f>G212</f>
        <v>0</v>
      </c>
    </row>
    <row r="213" spans="2:17" ht="16.149999999999999" customHeight="1" x14ac:dyDescent="0.35">
      <c r="B213" s="332"/>
      <c r="C213" s="338"/>
      <c r="D213" s="338"/>
      <c r="E213" s="338"/>
      <c r="F213" s="332"/>
      <c r="G213" s="318"/>
      <c r="H213" s="221" t="str">
        <f ca="1">'Translation Table'!H269</f>
        <v>Well Count</v>
      </c>
      <c r="I213" s="216" t="str">
        <f ca="1">'Translation Table'!H109</f>
        <v>CO2</v>
      </c>
      <c r="J213" s="116" t="s">
        <v>1015</v>
      </c>
      <c r="K213" s="135"/>
      <c r="L213" s="116" t="str">
        <f t="shared" si="6"/>
        <v>NA</v>
      </c>
      <c r="M213" s="116" t="s">
        <v>1110</v>
      </c>
    </row>
    <row r="214" spans="2:17" ht="16.149999999999999" customHeight="1" x14ac:dyDescent="0.35">
      <c r="B214" s="332"/>
      <c r="C214" s="338"/>
      <c r="D214" s="338"/>
      <c r="E214" s="338"/>
      <c r="F214" s="332"/>
      <c r="G214" s="318"/>
      <c r="H214" s="221"/>
      <c r="I214" s="216" t="str">
        <f ca="1">'Translation Table'!H110</f>
        <v>N2O</v>
      </c>
      <c r="J214" s="116" t="s">
        <v>1015</v>
      </c>
      <c r="K214" s="135"/>
      <c r="L214" s="116" t="str">
        <f t="shared" si="6"/>
        <v>NA</v>
      </c>
      <c r="M214" s="116" t="s">
        <v>1110</v>
      </c>
    </row>
    <row r="215" spans="2:17" ht="16.149999999999999" customHeight="1" x14ac:dyDescent="0.35">
      <c r="B215" s="332"/>
      <c r="C215" s="338"/>
      <c r="D215" s="338"/>
      <c r="E215" s="338"/>
      <c r="F215" s="332"/>
      <c r="G215" s="318"/>
      <c r="H215" s="221"/>
      <c r="I215" s="216" t="str">
        <f ca="1">'Translation Table'!H111</f>
        <v>NOx</v>
      </c>
      <c r="J215" s="116" t="s">
        <v>1015</v>
      </c>
      <c r="K215" s="135"/>
      <c r="L215" s="116" t="str">
        <f t="shared" ref="L215:L278" si="7">IF(OR(K215="",K215="NA"),J215,K215)</f>
        <v>NA</v>
      </c>
      <c r="M215" s="116" t="s">
        <v>1110</v>
      </c>
    </row>
    <row r="216" spans="2:17" ht="16.149999999999999" customHeight="1" x14ac:dyDescent="0.35">
      <c r="B216" s="332"/>
      <c r="C216" s="338"/>
      <c r="D216" s="338"/>
      <c r="E216" s="338"/>
      <c r="F216" s="332"/>
      <c r="G216" s="318"/>
      <c r="H216" s="221"/>
      <c r="I216" s="216" t="str">
        <f ca="1">'Translation Table'!H112</f>
        <v>CO</v>
      </c>
      <c r="J216" s="116" t="s">
        <v>1015</v>
      </c>
      <c r="K216" s="135"/>
      <c r="L216" s="116" t="str">
        <f t="shared" si="7"/>
        <v>NA</v>
      </c>
      <c r="M216" s="116" t="s">
        <v>1110</v>
      </c>
    </row>
    <row r="217" spans="2:17" ht="16.149999999999999" customHeight="1" x14ac:dyDescent="0.35">
      <c r="B217" s="332"/>
      <c r="C217" s="338"/>
      <c r="D217" s="338"/>
      <c r="E217" s="338"/>
      <c r="F217" s="332"/>
      <c r="G217" s="318"/>
      <c r="H217" s="227"/>
      <c r="I217" s="216" t="str">
        <f ca="1">'Translation Table'!H113</f>
        <v>NMVOC</v>
      </c>
      <c r="J217" s="116" t="s">
        <v>1015</v>
      </c>
      <c r="K217" s="135"/>
      <c r="L217" s="116" t="str">
        <f t="shared" si="7"/>
        <v>NA</v>
      </c>
      <c r="M217" s="116" t="s">
        <v>1110</v>
      </c>
    </row>
    <row r="218" spans="2:17" ht="16.149999999999999" customHeight="1" x14ac:dyDescent="0.35">
      <c r="B218" s="332"/>
      <c r="C218" s="338"/>
      <c r="D218" s="338"/>
      <c r="E218" s="338"/>
      <c r="F218" s="332"/>
      <c r="G218" s="318"/>
      <c r="H218" s="222"/>
      <c r="I218" s="216" t="str">
        <f ca="1">'Translation Table'!H114</f>
        <v>SO2</v>
      </c>
      <c r="J218" s="116" t="s">
        <v>1015</v>
      </c>
      <c r="K218" s="135"/>
      <c r="L218" s="116" t="str">
        <f t="shared" si="7"/>
        <v>NA</v>
      </c>
      <c r="M218" s="116" t="s">
        <v>1110</v>
      </c>
    </row>
    <row r="219" spans="2:17" ht="16.149999999999999" customHeight="1" x14ac:dyDescent="0.35">
      <c r="B219" s="319" t="str">
        <f ca="1">'Translation Table'!H121</f>
        <v>Abandoned Oil Wells</v>
      </c>
      <c r="C219" s="338" t="str">
        <f ca="1">'Translation Table'!H149</f>
        <v>Onshore: Plugged</v>
      </c>
      <c r="D219" s="338"/>
      <c r="E219" s="338"/>
      <c r="F219" s="317" t="str">
        <f ca="1">'Translation Table'!H213</f>
        <v>Onshore plugged abandoned well</v>
      </c>
      <c r="G219" s="318"/>
      <c r="H219" s="217" t="str">
        <f ca="1">H220</f>
        <v>Well Count</v>
      </c>
      <c r="I219" s="216" t="str">
        <f ca="1">'Translation Table'!H108</f>
        <v>CH4</v>
      </c>
      <c r="J219" s="116">
        <v>2.0000000000000002E-5</v>
      </c>
      <c r="K219" s="135" t="s">
        <v>1015</v>
      </c>
      <c r="L219" s="116">
        <f t="shared" si="7"/>
        <v>2.0000000000000002E-5</v>
      </c>
      <c r="M219" s="116" t="s">
        <v>1110</v>
      </c>
      <c r="Q219" s="133">
        <f>G219</f>
        <v>0</v>
      </c>
    </row>
    <row r="220" spans="2:17" ht="16.149999999999999" customHeight="1" x14ac:dyDescent="0.35">
      <c r="B220" s="320"/>
      <c r="C220" s="338"/>
      <c r="D220" s="338"/>
      <c r="E220" s="338"/>
      <c r="F220" s="317"/>
      <c r="G220" s="318"/>
      <c r="H220" s="219" t="str">
        <f ca="1">'Translation Table'!H269</f>
        <v>Well Count</v>
      </c>
      <c r="I220" s="216" t="str">
        <f ca="1">'Translation Table'!H109</f>
        <v>CO2</v>
      </c>
      <c r="J220" s="116" t="s">
        <v>1015</v>
      </c>
      <c r="K220" s="135" t="s">
        <v>1015</v>
      </c>
      <c r="L220" s="116" t="str">
        <f t="shared" si="7"/>
        <v>NA</v>
      </c>
      <c r="M220" s="116" t="s">
        <v>1110</v>
      </c>
    </row>
    <row r="221" spans="2:17" ht="16.149999999999999" customHeight="1" x14ac:dyDescent="0.35">
      <c r="B221" s="320"/>
      <c r="C221" s="338"/>
      <c r="D221" s="338"/>
      <c r="E221" s="338"/>
      <c r="F221" s="317"/>
      <c r="G221" s="318"/>
      <c r="H221" s="219"/>
      <c r="I221" s="216" t="str">
        <f ca="1">'Translation Table'!H110</f>
        <v>N2O</v>
      </c>
      <c r="J221" s="116" t="s">
        <v>1015</v>
      </c>
      <c r="K221" s="135" t="s">
        <v>1015</v>
      </c>
      <c r="L221" s="116" t="str">
        <f t="shared" si="7"/>
        <v>NA</v>
      </c>
      <c r="M221" s="116" t="s">
        <v>1110</v>
      </c>
    </row>
    <row r="222" spans="2:17" ht="16.149999999999999" customHeight="1" x14ac:dyDescent="0.35">
      <c r="B222" s="320"/>
      <c r="C222" s="338"/>
      <c r="D222" s="338"/>
      <c r="E222" s="338"/>
      <c r="F222" s="317"/>
      <c r="G222" s="318"/>
      <c r="H222" s="219"/>
      <c r="I222" s="216" t="str">
        <f ca="1">'Translation Table'!H111</f>
        <v>NOx</v>
      </c>
      <c r="J222" s="116" t="s">
        <v>1015</v>
      </c>
      <c r="K222" s="135" t="s">
        <v>1015</v>
      </c>
      <c r="L222" s="116" t="str">
        <f t="shared" si="7"/>
        <v>NA</v>
      </c>
      <c r="M222" s="116" t="s">
        <v>1110</v>
      </c>
    </row>
    <row r="223" spans="2:17" ht="16.149999999999999" customHeight="1" x14ac:dyDescent="0.35">
      <c r="B223" s="320"/>
      <c r="C223" s="338"/>
      <c r="D223" s="338"/>
      <c r="E223" s="338"/>
      <c r="F223" s="317"/>
      <c r="G223" s="318"/>
      <c r="H223" s="219"/>
      <c r="I223" s="216" t="str">
        <f ca="1">'Translation Table'!H112</f>
        <v>CO</v>
      </c>
      <c r="J223" s="116" t="s">
        <v>1015</v>
      </c>
      <c r="K223" s="135" t="s">
        <v>1015</v>
      </c>
      <c r="L223" s="116" t="str">
        <f t="shared" si="7"/>
        <v>NA</v>
      </c>
      <c r="M223" s="116" t="s">
        <v>1110</v>
      </c>
    </row>
    <row r="224" spans="2:17" ht="16.149999999999999" customHeight="1" x14ac:dyDescent="0.35">
      <c r="B224" s="320"/>
      <c r="C224" s="338"/>
      <c r="D224" s="338"/>
      <c r="E224" s="338"/>
      <c r="F224" s="317"/>
      <c r="G224" s="318"/>
      <c r="H224" s="227"/>
      <c r="I224" s="216" t="str">
        <f ca="1">'Translation Table'!H113</f>
        <v>NMVOC</v>
      </c>
      <c r="J224" s="116" t="s">
        <v>1015</v>
      </c>
      <c r="K224" s="135" t="s">
        <v>1015</v>
      </c>
      <c r="L224" s="116" t="str">
        <f t="shared" si="7"/>
        <v>NA</v>
      </c>
      <c r="M224" s="116" t="s">
        <v>1110</v>
      </c>
    </row>
    <row r="225" spans="2:17" ht="16.149999999999999" customHeight="1" x14ac:dyDescent="0.35">
      <c r="B225" s="320"/>
      <c r="C225" s="338"/>
      <c r="D225" s="338"/>
      <c r="E225" s="338"/>
      <c r="F225" s="317"/>
      <c r="G225" s="318"/>
      <c r="H225" s="222"/>
      <c r="I225" s="216" t="str">
        <f ca="1">'Translation Table'!H114</f>
        <v>SO2</v>
      </c>
      <c r="J225" s="116" t="s">
        <v>1015</v>
      </c>
      <c r="K225" s="135" t="s">
        <v>1015</v>
      </c>
      <c r="L225" s="116" t="str">
        <f t="shared" si="7"/>
        <v>NA</v>
      </c>
      <c r="M225" s="116" t="s">
        <v>1110</v>
      </c>
    </row>
    <row r="226" spans="2:17" ht="16.149999999999999" customHeight="1" x14ac:dyDescent="0.35">
      <c r="B226" s="320"/>
      <c r="C226" s="338" t="str">
        <f ca="1">'Translation Table'!H150</f>
        <v>Onshore: Unplugged</v>
      </c>
      <c r="D226" s="338"/>
      <c r="E226" s="338"/>
      <c r="F226" s="317" t="str">
        <f ca="1">'Translation Table'!H214</f>
        <v>Onshore unplugged abandoned well</v>
      </c>
      <c r="G226" s="318"/>
      <c r="H226" s="217" t="str">
        <f ca="1">H227</f>
        <v>Well Count</v>
      </c>
      <c r="I226" s="216" t="str">
        <f ca="1">'Translation Table'!H108</f>
        <v>CH4</v>
      </c>
      <c r="J226" s="116">
        <v>8.7999999999999995E-2</v>
      </c>
      <c r="K226" s="135" t="s">
        <v>1015</v>
      </c>
      <c r="L226" s="116">
        <f t="shared" si="7"/>
        <v>8.7999999999999995E-2</v>
      </c>
      <c r="M226" s="116" t="s">
        <v>1110</v>
      </c>
      <c r="Q226" s="133">
        <f>G226</f>
        <v>0</v>
      </c>
    </row>
    <row r="227" spans="2:17" ht="16.149999999999999" customHeight="1" x14ac:dyDescent="0.35">
      <c r="B227" s="320"/>
      <c r="C227" s="338"/>
      <c r="D227" s="338"/>
      <c r="E227" s="338"/>
      <c r="F227" s="317"/>
      <c r="G227" s="318"/>
      <c r="H227" s="219" t="str">
        <f ca="1">'Translation Table'!H269</f>
        <v>Well Count</v>
      </c>
      <c r="I227" s="216" t="str">
        <f ca="1">'Translation Table'!H109</f>
        <v>CO2</v>
      </c>
      <c r="J227" s="116" t="s">
        <v>1015</v>
      </c>
      <c r="K227" s="135" t="s">
        <v>1015</v>
      </c>
      <c r="L227" s="116" t="str">
        <f t="shared" si="7"/>
        <v>NA</v>
      </c>
      <c r="M227" s="116" t="s">
        <v>1110</v>
      </c>
    </row>
    <row r="228" spans="2:17" ht="16.149999999999999" customHeight="1" x14ac:dyDescent="0.35">
      <c r="B228" s="320"/>
      <c r="C228" s="338"/>
      <c r="D228" s="338"/>
      <c r="E228" s="338"/>
      <c r="F228" s="317"/>
      <c r="G228" s="318"/>
      <c r="H228" s="219"/>
      <c r="I228" s="216" t="str">
        <f ca="1">'Translation Table'!H110</f>
        <v>N2O</v>
      </c>
      <c r="J228" s="116" t="s">
        <v>1015</v>
      </c>
      <c r="K228" s="135" t="s">
        <v>1015</v>
      </c>
      <c r="L228" s="116" t="str">
        <f t="shared" si="7"/>
        <v>NA</v>
      </c>
      <c r="M228" s="116" t="s">
        <v>1110</v>
      </c>
    </row>
    <row r="229" spans="2:17" ht="16.149999999999999" customHeight="1" x14ac:dyDescent="0.35">
      <c r="B229" s="320"/>
      <c r="C229" s="338"/>
      <c r="D229" s="338"/>
      <c r="E229" s="338"/>
      <c r="F229" s="317"/>
      <c r="G229" s="318"/>
      <c r="H229" s="219"/>
      <c r="I229" s="216" t="str">
        <f ca="1">'Translation Table'!H111</f>
        <v>NOx</v>
      </c>
      <c r="J229" s="116" t="s">
        <v>1015</v>
      </c>
      <c r="K229" s="135" t="s">
        <v>1015</v>
      </c>
      <c r="L229" s="116" t="str">
        <f t="shared" si="7"/>
        <v>NA</v>
      </c>
      <c r="M229" s="116" t="s">
        <v>1110</v>
      </c>
    </row>
    <row r="230" spans="2:17" ht="16.149999999999999" customHeight="1" x14ac:dyDescent="0.35">
      <c r="B230" s="320"/>
      <c r="C230" s="338"/>
      <c r="D230" s="338"/>
      <c r="E230" s="338"/>
      <c r="F230" s="317"/>
      <c r="G230" s="318"/>
      <c r="H230" s="219"/>
      <c r="I230" s="216" t="str">
        <f ca="1">'Translation Table'!H112</f>
        <v>CO</v>
      </c>
      <c r="J230" s="116" t="s">
        <v>1015</v>
      </c>
      <c r="K230" s="135" t="s">
        <v>1015</v>
      </c>
      <c r="L230" s="116" t="str">
        <f t="shared" si="7"/>
        <v>NA</v>
      </c>
      <c r="M230" s="116" t="s">
        <v>1110</v>
      </c>
    </row>
    <row r="231" spans="2:17" ht="16.149999999999999" customHeight="1" x14ac:dyDescent="0.35">
      <c r="B231" s="320"/>
      <c r="C231" s="338"/>
      <c r="D231" s="338"/>
      <c r="E231" s="338"/>
      <c r="F231" s="317"/>
      <c r="G231" s="318"/>
      <c r="H231" s="227"/>
      <c r="I231" s="216" t="str">
        <f ca="1">'Translation Table'!H113</f>
        <v>NMVOC</v>
      </c>
      <c r="J231" s="116" t="s">
        <v>1015</v>
      </c>
      <c r="K231" s="135" t="s">
        <v>1015</v>
      </c>
      <c r="L231" s="116" t="str">
        <f t="shared" si="7"/>
        <v>NA</v>
      </c>
      <c r="M231" s="116" t="s">
        <v>1110</v>
      </c>
    </row>
    <row r="232" spans="2:17" ht="16.149999999999999" customHeight="1" x14ac:dyDescent="0.35">
      <c r="B232" s="320"/>
      <c r="C232" s="338"/>
      <c r="D232" s="338"/>
      <c r="E232" s="338"/>
      <c r="F232" s="317"/>
      <c r="G232" s="318"/>
      <c r="H232" s="222"/>
      <c r="I232" s="216" t="str">
        <f ca="1">'Translation Table'!H114</f>
        <v>SO2</v>
      </c>
      <c r="J232" s="116" t="s">
        <v>1015</v>
      </c>
      <c r="K232" s="135" t="s">
        <v>1015</v>
      </c>
      <c r="L232" s="116" t="str">
        <f t="shared" si="7"/>
        <v>NA</v>
      </c>
      <c r="M232" s="116" t="s">
        <v>1110</v>
      </c>
    </row>
    <row r="233" spans="2:17" ht="16.149999999999999" customHeight="1" x14ac:dyDescent="0.35">
      <c r="B233" s="320"/>
      <c r="C233" s="338" t="str">
        <f ca="1">'Translation Table'!H151</f>
        <v>Onshore: All wells (plugged and unplugged)</v>
      </c>
      <c r="D233" s="338"/>
      <c r="E233" s="338"/>
      <c r="F233" s="317" t="str">
        <f ca="1">'Translation Table'!H215</f>
        <v>Onshore abandoned well</v>
      </c>
      <c r="G233" s="318"/>
      <c r="H233" s="217" t="str">
        <f ca="1">H234</f>
        <v>Well Count</v>
      </c>
      <c r="I233" s="216" t="str">
        <f ca="1">'Translation Table'!H108</f>
        <v>CH4</v>
      </c>
      <c r="J233" s="116">
        <v>1.2E-2</v>
      </c>
      <c r="K233" s="135"/>
      <c r="L233" s="116">
        <f t="shared" si="7"/>
        <v>1.2E-2</v>
      </c>
      <c r="M233" s="116" t="s">
        <v>1110</v>
      </c>
      <c r="Q233" s="133">
        <f>G233</f>
        <v>0</v>
      </c>
    </row>
    <row r="234" spans="2:17" ht="16.149999999999999" customHeight="1" x14ac:dyDescent="0.35">
      <c r="B234" s="320"/>
      <c r="C234" s="338"/>
      <c r="D234" s="338"/>
      <c r="E234" s="338"/>
      <c r="F234" s="317"/>
      <c r="G234" s="318"/>
      <c r="H234" s="219" t="str">
        <f ca="1">'Translation Table'!H269</f>
        <v>Well Count</v>
      </c>
      <c r="I234" s="216" t="str">
        <f ca="1">'Translation Table'!H109</f>
        <v>CO2</v>
      </c>
      <c r="J234" s="116" t="s">
        <v>1015</v>
      </c>
      <c r="K234" s="135"/>
      <c r="L234" s="116" t="str">
        <f t="shared" si="7"/>
        <v>NA</v>
      </c>
      <c r="M234" s="116" t="s">
        <v>1110</v>
      </c>
    </row>
    <row r="235" spans="2:17" ht="16.149999999999999" customHeight="1" x14ac:dyDescent="0.35">
      <c r="B235" s="320"/>
      <c r="C235" s="338"/>
      <c r="D235" s="338"/>
      <c r="E235" s="338"/>
      <c r="F235" s="317"/>
      <c r="G235" s="318"/>
      <c r="H235" s="219"/>
      <c r="I235" s="216" t="str">
        <f ca="1">'Translation Table'!H110</f>
        <v>N2O</v>
      </c>
      <c r="J235" s="116" t="s">
        <v>1015</v>
      </c>
      <c r="K235" s="135"/>
      <c r="L235" s="116" t="str">
        <f t="shared" si="7"/>
        <v>NA</v>
      </c>
      <c r="M235" s="116" t="s">
        <v>1110</v>
      </c>
    </row>
    <row r="236" spans="2:17" ht="16.149999999999999" customHeight="1" x14ac:dyDescent="0.35">
      <c r="B236" s="320"/>
      <c r="C236" s="338"/>
      <c r="D236" s="338"/>
      <c r="E236" s="338"/>
      <c r="F236" s="317"/>
      <c r="G236" s="318"/>
      <c r="H236" s="219"/>
      <c r="I236" s="216" t="str">
        <f ca="1">'Translation Table'!H111</f>
        <v>NOx</v>
      </c>
      <c r="J236" s="116" t="s">
        <v>1015</v>
      </c>
      <c r="K236" s="135"/>
      <c r="L236" s="116" t="str">
        <f t="shared" si="7"/>
        <v>NA</v>
      </c>
      <c r="M236" s="116" t="s">
        <v>1110</v>
      </c>
    </row>
    <row r="237" spans="2:17" ht="16.149999999999999" customHeight="1" x14ac:dyDescent="0.35">
      <c r="B237" s="320"/>
      <c r="C237" s="338"/>
      <c r="D237" s="338"/>
      <c r="E237" s="338"/>
      <c r="F237" s="317"/>
      <c r="G237" s="318"/>
      <c r="H237" s="219"/>
      <c r="I237" s="216" t="str">
        <f ca="1">'Translation Table'!H112</f>
        <v>CO</v>
      </c>
      <c r="J237" s="116" t="s">
        <v>1015</v>
      </c>
      <c r="K237" s="135"/>
      <c r="L237" s="116" t="str">
        <f t="shared" si="7"/>
        <v>NA</v>
      </c>
      <c r="M237" s="116" t="s">
        <v>1110</v>
      </c>
    </row>
    <row r="238" spans="2:17" ht="16.149999999999999" customHeight="1" x14ac:dyDescent="0.35">
      <c r="B238" s="320"/>
      <c r="C238" s="338"/>
      <c r="D238" s="338"/>
      <c r="E238" s="338"/>
      <c r="F238" s="317"/>
      <c r="G238" s="318"/>
      <c r="H238" s="227"/>
      <c r="I238" s="216" t="str">
        <f ca="1">'Translation Table'!H113</f>
        <v>NMVOC</v>
      </c>
      <c r="J238" s="116" t="s">
        <v>1015</v>
      </c>
      <c r="K238" s="135"/>
      <c r="L238" s="116" t="str">
        <f t="shared" si="7"/>
        <v>NA</v>
      </c>
      <c r="M238" s="116" t="s">
        <v>1110</v>
      </c>
    </row>
    <row r="239" spans="2:17" ht="16.149999999999999" customHeight="1" x14ac:dyDescent="0.35">
      <c r="B239" s="320"/>
      <c r="C239" s="338"/>
      <c r="D239" s="338"/>
      <c r="E239" s="338"/>
      <c r="F239" s="317"/>
      <c r="G239" s="318"/>
      <c r="H239" s="222"/>
      <c r="I239" s="216" t="str">
        <f ca="1">'Translation Table'!H114</f>
        <v>SO2</v>
      </c>
      <c r="J239" s="116" t="s">
        <v>1015</v>
      </c>
      <c r="K239" s="135"/>
      <c r="L239" s="116" t="str">
        <f t="shared" si="7"/>
        <v>NA</v>
      </c>
      <c r="M239" s="116" t="s">
        <v>1110</v>
      </c>
    </row>
    <row r="240" spans="2:17" ht="16.149999999999999" customHeight="1" x14ac:dyDescent="0.35">
      <c r="B240" s="320"/>
      <c r="C240" s="338" t="str">
        <f ca="1">'Translation Table'!H152</f>
        <v>Offshore: Plugged</v>
      </c>
      <c r="D240" s="338"/>
      <c r="E240" s="338"/>
      <c r="F240" s="317" t="str">
        <f ca="1">'Translation Table'!H217</f>
        <v>Offshore plugged abandoned well</v>
      </c>
      <c r="G240" s="318"/>
      <c r="H240" s="217" t="str">
        <f ca="1">H241</f>
        <v>Well Count</v>
      </c>
      <c r="I240" s="216" t="str">
        <f ca="1">'Translation Table'!H108</f>
        <v>CH4</v>
      </c>
      <c r="J240" s="116">
        <v>3.4999999999999998E-7</v>
      </c>
      <c r="K240" s="135" t="s">
        <v>1015</v>
      </c>
      <c r="L240" s="116">
        <f t="shared" si="7"/>
        <v>3.4999999999999998E-7</v>
      </c>
      <c r="M240" s="116" t="s">
        <v>1110</v>
      </c>
      <c r="Q240" s="133">
        <f>G240</f>
        <v>0</v>
      </c>
    </row>
    <row r="241" spans="2:17" ht="16.149999999999999" customHeight="1" x14ac:dyDescent="0.35">
      <c r="B241" s="320"/>
      <c r="C241" s="338"/>
      <c r="D241" s="338"/>
      <c r="E241" s="338"/>
      <c r="F241" s="317"/>
      <c r="G241" s="318"/>
      <c r="H241" s="219" t="str">
        <f ca="1">'Translation Table'!H269</f>
        <v>Well Count</v>
      </c>
      <c r="I241" s="216" t="str">
        <f ca="1">'Translation Table'!H109</f>
        <v>CO2</v>
      </c>
      <c r="J241" s="116" t="s">
        <v>1015</v>
      </c>
      <c r="K241" s="135" t="s">
        <v>1015</v>
      </c>
      <c r="L241" s="116" t="str">
        <f t="shared" si="7"/>
        <v>NA</v>
      </c>
      <c r="M241" s="116" t="s">
        <v>1110</v>
      </c>
    </row>
    <row r="242" spans="2:17" ht="16.149999999999999" customHeight="1" x14ac:dyDescent="0.35">
      <c r="B242" s="320"/>
      <c r="C242" s="338"/>
      <c r="D242" s="338"/>
      <c r="E242" s="338"/>
      <c r="F242" s="317"/>
      <c r="G242" s="318"/>
      <c r="H242" s="219"/>
      <c r="I242" s="216" t="str">
        <f ca="1">'Translation Table'!H110</f>
        <v>N2O</v>
      </c>
      <c r="J242" s="116" t="s">
        <v>1015</v>
      </c>
      <c r="K242" s="135" t="s">
        <v>1015</v>
      </c>
      <c r="L242" s="116" t="str">
        <f t="shared" si="7"/>
        <v>NA</v>
      </c>
      <c r="M242" s="116" t="s">
        <v>1110</v>
      </c>
    </row>
    <row r="243" spans="2:17" ht="16.149999999999999" customHeight="1" x14ac:dyDescent="0.35">
      <c r="B243" s="320"/>
      <c r="C243" s="338"/>
      <c r="D243" s="338"/>
      <c r="E243" s="338"/>
      <c r="F243" s="317"/>
      <c r="G243" s="318"/>
      <c r="H243" s="219"/>
      <c r="I243" s="216" t="str">
        <f ca="1">'Translation Table'!H111</f>
        <v>NOx</v>
      </c>
      <c r="J243" s="116" t="s">
        <v>1015</v>
      </c>
      <c r="K243" s="135" t="s">
        <v>1015</v>
      </c>
      <c r="L243" s="116" t="str">
        <f t="shared" si="7"/>
        <v>NA</v>
      </c>
      <c r="M243" s="116" t="s">
        <v>1110</v>
      </c>
    </row>
    <row r="244" spans="2:17" ht="16.149999999999999" customHeight="1" x14ac:dyDescent="0.35">
      <c r="B244" s="320"/>
      <c r="C244" s="338"/>
      <c r="D244" s="338"/>
      <c r="E244" s="338"/>
      <c r="F244" s="317"/>
      <c r="G244" s="318"/>
      <c r="H244" s="219"/>
      <c r="I244" s="216" t="str">
        <f ca="1">'Translation Table'!H112</f>
        <v>CO</v>
      </c>
      <c r="J244" s="116" t="s">
        <v>1015</v>
      </c>
      <c r="K244" s="135" t="s">
        <v>1015</v>
      </c>
      <c r="L244" s="116" t="str">
        <f t="shared" si="7"/>
        <v>NA</v>
      </c>
      <c r="M244" s="116" t="s">
        <v>1110</v>
      </c>
    </row>
    <row r="245" spans="2:17" ht="16.149999999999999" customHeight="1" x14ac:dyDescent="0.35">
      <c r="B245" s="320"/>
      <c r="C245" s="338"/>
      <c r="D245" s="338"/>
      <c r="E245" s="338"/>
      <c r="F245" s="317"/>
      <c r="G245" s="318"/>
      <c r="H245" s="227"/>
      <c r="I245" s="216" t="str">
        <f ca="1">'Translation Table'!H113</f>
        <v>NMVOC</v>
      </c>
      <c r="J245" s="116" t="s">
        <v>1015</v>
      </c>
      <c r="K245" s="135" t="s">
        <v>1015</v>
      </c>
      <c r="L245" s="116" t="str">
        <f t="shared" si="7"/>
        <v>NA</v>
      </c>
      <c r="M245" s="116" t="s">
        <v>1110</v>
      </c>
    </row>
    <row r="246" spans="2:17" ht="16.149999999999999" customHeight="1" x14ac:dyDescent="0.35">
      <c r="B246" s="320"/>
      <c r="C246" s="338"/>
      <c r="D246" s="338"/>
      <c r="E246" s="338"/>
      <c r="F246" s="317"/>
      <c r="G246" s="318"/>
      <c r="H246" s="222"/>
      <c r="I246" s="216" t="str">
        <f ca="1">'Translation Table'!H114</f>
        <v>SO2</v>
      </c>
      <c r="J246" s="116" t="s">
        <v>1015</v>
      </c>
      <c r="K246" s="135" t="s">
        <v>1015</v>
      </c>
      <c r="L246" s="116" t="str">
        <f t="shared" si="7"/>
        <v>NA</v>
      </c>
      <c r="M246" s="116" t="s">
        <v>1110</v>
      </c>
    </row>
    <row r="247" spans="2:17" ht="16.149999999999999" customHeight="1" x14ac:dyDescent="0.35">
      <c r="B247" s="320"/>
      <c r="C247" s="338" t="str">
        <f ca="1">'Translation Table'!H153</f>
        <v>Offshore: Unplugged</v>
      </c>
      <c r="D247" s="338"/>
      <c r="E247" s="338"/>
      <c r="F247" s="317" t="str">
        <f ca="1">'Translation Table'!H218</f>
        <v>Offshore unplugged abandoned well</v>
      </c>
      <c r="G247" s="318"/>
      <c r="H247" s="217" t="str">
        <f ca="1">H248</f>
        <v>Well Count</v>
      </c>
      <c r="I247" s="216" t="str">
        <f ca="1">'Translation Table'!H108</f>
        <v>CH4</v>
      </c>
      <c r="J247" s="116">
        <v>1.8E-3</v>
      </c>
      <c r="K247" s="135" t="s">
        <v>1015</v>
      </c>
      <c r="L247" s="116">
        <f t="shared" si="7"/>
        <v>1.8E-3</v>
      </c>
      <c r="M247" s="116" t="s">
        <v>1110</v>
      </c>
      <c r="Q247" s="133">
        <f>G247</f>
        <v>0</v>
      </c>
    </row>
    <row r="248" spans="2:17" ht="16.149999999999999" customHeight="1" x14ac:dyDescent="0.35">
      <c r="B248" s="320"/>
      <c r="C248" s="338"/>
      <c r="D248" s="338"/>
      <c r="E248" s="338"/>
      <c r="F248" s="317"/>
      <c r="G248" s="318"/>
      <c r="H248" s="219" t="str">
        <f ca="1">'Translation Table'!H269</f>
        <v>Well Count</v>
      </c>
      <c r="I248" s="216" t="str">
        <f ca="1">'Translation Table'!H109</f>
        <v>CO2</v>
      </c>
      <c r="J248" s="116" t="s">
        <v>1015</v>
      </c>
      <c r="K248" s="135" t="s">
        <v>1015</v>
      </c>
      <c r="L248" s="116" t="str">
        <f t="shared" si="7"/>
        <v>NA</v>
      </c>
      <c r="M248" s="116" t="s">
        <v>1110</v>
      </c>
    </row>
    <row r="249" spans="2:17" ht="16.149999999999999" customHeight="1" x14ac:dyDescent="0.35">
      <c r="B249" s="320"/>
      <c r="C249" s="338"/>
      <c r="D249" s="338"/>
      <c r="E249" s="338"/>
      <c r="F249" s="317"/>
      <c r="G249" s="318"/>
      <c r="H249" s="219"/>
      <c r="I249" s="216" t="str">
        <f ca="1">'Translation Table'!H110</f>
        <v>N2O</v>
      </c>
      <c r="J249" s="116" t="s">
        <v>1015</v>
      </c>
      <c r="K249" s="135" t="s">
        <v>1015</v>
      </c>
      <c r="L249" s="116" t="str">
        <f t="shared" si="7"/>
        <v>NA</v>
      </c>
      <c r="M249" s="116" t="s">
        <v>1110</v>
      </c>
    </row>
    <row r="250" spans="2:17" ht="16.149999999999999" customHeight="1" x14ac:dyDescent="0.35">
      <c r="B250" s="320"/>
      <c r="C250" s="338"/>
      <c r="D250" s="338"/>
      <c r="E250" s="338"/>
      <c r="F250" s="317"/>
      <c r="G250" s="318"/>
      <c r="H250" s="219"/>
      <c r="I250" s="216" t="str">
        <f ca="1">'Translation Table'!H111</f>
        <v>NOx</v>
      </c>
      <c r="J250" s="116" t="s">
        <v>1015</v>
      </c>
      <c r="K250" s="135" t="s">
        <v>1015</v>
      </c>
      <c r="L250" s="116" t="str">
        <f t="shared" si="7"/>
        <v>NA</v>
      </c>
      <c r="M250" s="116" t="s">
        <v>1110</v>
      </c>
    </row>
    <row r="251" spans="2:17" ht="16.149999999999999" customHeight="1" x14ac:dyDescent="0.35">
      <c r="B251" s="320"/>
      <c r="C251" s="338"/>
      <c r="D251" s="338"/>
      <c r="E251" s="338"/>
      <c r="F251" s="317"/>
      <c r="G251" s="318"/>
      <c r="H251" s="219"/>
      <c r="I251" s="216" t="str">
        <f ca="1">'Translation Table'!H112</f>
        <v>CO</v>
      </c>
      <c r="J251" s="116" t="s">
        <v>1015</v>
      </c>
      <c r="K251" s="135" t="s">
        <v>1015</v>
      </c>
      <c r="L251" s="116" t="str">
        <f t="shared" si="7"/>
        <v>NA</v>
      </c>
      <c r="M251" s="116" t="s">
        <v>1110</v>
      </c>
    </row>
    <row r="252" spans="2:17" ht="16.149999999999999" customHeight="1" x14ac:dyDescent="0.35">
      <c r="B252" s="320"/>
      <c r="C252" s="338"/>
      <c r="D252" s="338"/>
      <c r="E252" s="338"/>
      <c r="F252" s="317"/>
      <c r="G252" s="318"/>
      <c r="H252" s="227"/>
      <c r="I252" s="216" t="str">
        <f ca="1">'Translation Table'!H113</f>
        <v>NMVOC</v>
      </c>
      <c r="J252" s="116" t="s">
        <v>1015</v>
      </c>
      <c r="K252" s="135" t="s">
        <v>1015</v>
      </c>
      <c r="L252" s="116" t="str">
        <f t="shared" si="7"/>
        <v>NA</v>
      </c>
      <c r="M252" s="116" t="s">
        <v>1110</v>
      </c>
    </row>
    <row r="253" spans="2:17" ht="16.149999999999999" customHeight="1" x14ac:dyDescent="0.35">
      <c r="B253" s="320"/>
      <c r="C253" s="338"/>
      <c r="D253" s="338"/>
      <c r="E253" s="338"/>
      <c r="F253" s="317"/>
      <c r="G253" s="318"/>
      <c r="H253" s="222"/>
      <c r="I253" s="216" t="str">
        <f ca="1">'Translation Table'!H114</f>
        <v>SO2</v>
      </c>
      <c r="J253" s="116" t="s">
        <v>1015</v>
      </c>
      <c r="K253" s="135" t="s">
        <v>1015</v>
      </c>
      <c r="L253" s="116" t="str">
        <f t="shared" si="7"/>
        <v>NA</v>
      </c>
      <c r="M253" s="116" t="s">
        <v>1110</v>
      </c>
    </row>
    <row r="254" spans="2:17" ht="16.149999999999999" customHeight="1" x14ac:dyDescent="0.35">
      <c r="B254" s="320"/>
      <c r="C254" s="338" t="str">
        <f ca="1">'Translation Table'!H154</f>
        <v>Offshore: All wells (plugged and unplugged)</v>
      </c>
      <c r="D254" s="338"/>
      <c r="E254" s="338"/>
      <c r="F254" s="317" t="str">
        <f ca="1">'Translation Table'!H219</f>
        <v>Offshore abandoned well</v>
      </c>
      <c r="G254" s="318"/>
      <c r="H254" s="217" t="str">
        <f ca="1">H255</f>
        <v>Well Count</v>
      </c>
      <c r="I254" s="216" t="str">
        <f ca="1">'Translation Table'!H108</f>
        <v>CH4</v>
      </c>
      <c r="J254" s="116">
        <v>2.4000000000000001E-4</v>
      </c>
      <c r="K254" s="135"/>
      <c r="L254" s="116">
        <f t="shared" si="7"/>
        <v>2.4000000000000001E-4</v>
      </c>
      <c r="M254" s="116" t="s">
        <v>1110</v>
      </c>
      <c r="Q254" s="133">
        <f>G254</f>
        <v>0</v>
      </c>
    </row>
    <row r="255" spans="2:17" ht="16.149999999999999" customHeight="1" x14ac:dyDescent="0.35">
      <c r="B255" s="320"/>
      <c r="C255" s="338"/>
      <c r="D255" s="338"/>
      <c r="E255" s="338"/>
      <c r="F255" s="317"/>
      <c r="G255" s="318"/>
      <c r="H255" s="219" t="str">
        <f ca="1">'Translation Table'!H269</f>
        <v>Well Count</v>
      </c>
      <c r="I255" s="216" t="str">
        <f ca="1">'Translation Table'!H109</f>
        <v>CO2</v>
      </c>
      <c r="J255" s="116" t="s">
        <v>1015</v>
      </c>
      <c r="K255" s="135"/>
      <c r="L255" s="116" t="str">
        <f t="shared" si="7"/>
        <v>NA</v>
      </c>
      <c r="M255" s="116" t="s">
        <v>1110</v>
      </c>
    </row>
    <row r="256" spans="2:17" ht="16.149999999999999" customHeight="1" x14ac:dyDescent="0.35">
      <c r="B256" s="320"/>
      <c r="C256" s="338"/>
      <c r="D256" s="338"/>
      <c r="E256" s="338"/>
      <c r="F256" s="317"/>
      <c r="G256" s="318"/>
      <c r="H256" s="219"/>
      <c r="I256" s="216" t="str">
        <f ca="1">'Translation Table'!H110</f>
        <v>N2O</v>
      </c>
      <c r="J256" s="116" t="s">
        <v>1015</v>
      </c>
      <c r="K256" s="135"/>
      <c r="L256" s="116" t="str">
        <f t="shared" si="7"/>
        <v>NA</v>
      </c>
      <c r="M256" s="116" t="s">
        <v>1110</v>
      </c>
    </row>
    <row r="257" spans="2:17" ht="16.149999999999999" customHeight="1" x14ac:dyDescent="0.35">
      <c r="B257" s="320"/>
      <c r="C257" s="338"/>
      <c r="D257" s="338"/>
      <c r="E257" s="338"/>
      <c r="F257" s="317"/>
      <c r="G257" s="318"/>
      <c r="H257" s="219"/>
      <c r="I257" s="216" t="str">
        <f ca="1">'Translation Table'!H111</f>
        <v>NOx</v>
      </c>
      <c r="J257" s="116" t="s">
        <v>1015</v>
      </c>
      <c r="K257" s="135"/>
      <c r="L257" s="116" t="str">
        <f t="shared" si="7"/>
        <v>NA</v>
      </c>
      <c r="M257" s="116" t="s">
        <v>1110</v>
      </c>
    </row>
    <row r="258" spans="2:17" ht="16.149999999999999" customHeight="1" x14ac:dyDescent="0.35">
      <c r="B258" s="320"/>
      <c r="C258" s="338"/>
      <c r="D258" s="338"/>
      <c r="E258" s="338"/>
      <c r="F258" s="317"/>
      <c r="G258" s="318"/>
      <c r="H258" s="219"/>
      <c r="I258" s="216" t="str">
        <f ca="1">'Translation Table'!H112</f>
        <v>CO</v>
      </c>
      <c r="J258" s="116" t="s">
        <v>1015</v>
      </c>
      <c r="K258" s="135"/>
      <c r="L258" s="116" t="str">
        <f t="shared" si="7"/>
        <v>NA</v>
      </c>
      <c r="M258" s="116" t="s">
        <v>1110</v>
      </c>
    </row>
    <row r="259" spans="2:17" ht="16.149999999999999" customHeight="1" x14ac:dyDescent="0.35">
      <c r="B259" s="320"/>
      <c r="C259" s="338"/>
      <c r="D259" s="338"/>
      <c r="E259" s="338"/>
      <c r="F259" s="317"/>
      <c r="G259" s="318"/>
      <c r="H259" s="227"/>
      <c r="I259" s="216" t="str">
        <f ca="1">'Translation Table'!H113</f>
        <v>NMVOC</v>
      </c>
      <c r="J259" s="116" t="s">
        <v>1015</v>
      </c>
      <c r="K259" s="135"/>
      <c r="L259" s="116" t="str">
        <f t="shared" si="7"/>
        <v>NA</v>
      </c>
      <c r="M259" s="116" t="s">
        <v>1110</v>
      </c>
    </row>
    <row r="260" spans="2:17" ht="16.149999999999999" customHeight="1" x14ac:dyDescent="0.35">
      <c r="B260" s="320"/>
      <c r="C260" s="338"/>
      <c r="D260" s="338"/>
      <c r="E260" s="338"/>
      <c r="F260" s="317"/>
      <c r="G260" s="318"/>
      <c r="H260" s="222"/>
      <c r="I260" s="216" t="str">
        <f ca="1">'Translation Table'!H114</f>
        <v>SO2</v>
      </c>
      <c r="J260" s="116" t="s">
        <v>1015</v>
      </c>
      <c r="K260" s="135"/>
      <c r="L260" s="116" t="str">
        <f t="shared" si="7"/>
        <v>NA</v>
      </c>
      <c r="M260" s="116" t="s">
        <v>1110</v>
      </c>
    </row>
    <row r="261" spans="2:17" ht="16.149999999999999" customHeight="1" x14ac:dyDescent="0.35">
      <c r="B261" s="332" t="str">
        <f ca="1">'Translation Table'!H122</f>
        <v>Gas Exploration</v>
      </c>
      <c r="C261" s="316" t="str">
        <f ca="1">'Translation Table'!H155</f>
        <v>Onshore unconventional gas exploration without flaring or gas capture</v>
      </c>
      <c r="D261" s="316"/>
      <c r="E261" s="316"/>
      <c r="F261" s="317" t="str">
        <f ca="1">'Translation Table'!H220</f>
        <v>Unconventional onshore gas wells drilled in a year, without flaring or recovery</v>
      </c>
      <c r="G261" s="318"/>
      <c r="H261" s="217" t="str">
        <f ca="1">H262</f>
        <v>Well Count</v>
      </c>
      <c r="I261" s="216" t="str">
        <f ca="1">'Translation Table'!H108</f>
        <v>CH4</v>
      </c>
      <c r="J261" s="116">
        <v>20.100000000000001</v>
      </c>
      <c r="K261" s="135"/>
      <c r="L261" s="116">
        <f t="shared" si="7"/>
        <v>20.100000000000001</v>
      </c>
      <c r="M261" s="116" t="s">
        <v>1110</v>
      </c>
      <c r="Q261" s="133">
        <f>G261</f>
        <v>0</v>
      </c>
    </row>
    <row r="262" spans="2:17" ht="16.149999999999999" customHeight="1" x14ac:dyDescent="0.35">
      <c r="B262" s="332"/>
      <c r="C262" s="316"/>
      <c r="D262" s="316"/>
      <c r="E262" s="316"/>
      <c r="F262" s="317"/>
      <c r="G262" s="318"/>
      <c r="H262" s="219" t="str">
        <f ca="1">'Translation Table'!H269</f>
        <v>Well Count</v>
      </c>
      <c r="I262" s="216" t="str">
        <f ca="1">'Translation Table'!H109</f>
        <v>CO2</v>
      </c>
      <c r="J262" s="116">
        <v>1.5</v>
      </c>
      <c r="K262" s="135"/>
      <c r="L262" s="116">
        <f t="shared" si="7"/>
        <v>1.5</v>
      </c>
      <c r="M262" s="116" t="s">
        <v>1110</v>
      </c>
    </row>
    <row r="263" spans="2:17" ht="16.149999999999999" customHeight="1" x14ac:dyDescent="0.35">
      <c r="B263" s="332"/>
      <c r="C263" s="316"/>
      <c r="D263" s="316"/>
      <c r="E263" s="316"/>
      <c r="F263" s="317"/>
      <c r="G263" s="318"/>
      <c r="H263" s="219"/>
      <c r="I263" s="216" t="str">
        <f ca="1">'Translation Table'!H110</f>
        <v>N2O</v>
      </c>
      <c r="J263" s="116" t="s">
        <v>1015</v>
      </c>
      <c r="K263" s="135"/>
      <c r="L263" s="116" t="str">
        <f t="shared" si="7"/>
        <v>NA</v>
      </c>
      <c r="M263" s="116" t="s">
        <v>1110</v>
      </c>
    </row>
    <row r="264" spans="2:17" ht="16.149999999999999" customHeight="1" x14ac:dyDescent="0.35">
      <c r="B264" s="332"/>
      <c r="C264" s="316"/>
      <c r="D264" s="316"/>
      <c r="E264" s="316"/>
      <c r="F264" s="317"/>
      <c r="G264" s="318"/>
      <c r="H264" s="219"/>
      <c r="I264" s="216" t="str">
        <f ca="1">'Translation Table'!H111</f>
        <v>NOx</v>
      </c>
      <c r="J264" s="116" t="s">
        <v>1015</v>
      </c>
      <c r="K264" s="135"/>
      <c r="L264" s="116" t="str">
        <f t="shared" si="7"/>
        <v>NA</v>
      </c>
      <c r="M264" s="116" t="s">
        <v>1110</v>
      </c>
    </row>
    <row r="265" spans="2:17" ht="16.149999999999999" customHeight="1" x14ac:dyDescent="0.35">
      <c r="B265" s="332"/>
      <c r="C265" s="316"/>
      <c r="D265" s="316"/>
      <c r="E265" s="316"/>
      <c r="F265" s="317"/>
      <c r="G265" s="318"/>
      <c r="H265" s="219"/>
      <c r="I265" s="216" t="str">
        <f ca="1">'Translation Table'!H112</f>
        <v>CO</v>
      </c>
      <c r="J265" s="116" t="s">
        <v>1015</v>
      </c>
      <c r="K265" s="135"/>
      <c r="L265" s="116" t="str">
        <f t="shared" si="7"/>
        <v>NA</v>
      </c>
      <c r="M265" s="116" t="s">
        <v>1110</v>
      </c>
    </row>
    <row r="266" spans="2:17" ht="16.149999999999999" customHeight="1" x14ac:dyDescent="0.35">
      <c r="B266" s="332"/>
      <c r="C266" s="316"/>
      <c r="D266" s="316"/>
      <c r="E266" s="316"/>
      <c r="F266" s="317"/>
      <c r="G266" s="318"/>
      <c r="H266" s="221"/>
      <c r="I266" s="216" t="str">
        <f ca="1">'Translation Table'!H113</f>
        <v>NMVOC</v>
      </c>
      <c r="J266" s="116">
        <v>3.01</v>
      </c>
      <c r="K266" s="135"/>
      <c r="L266" s="116">
        <f t="shared" si="7"/>
        <v>3.01</v>
      </c>
      <c r="M266" s="116" t="s">
        <v>1110</v>
      </c>
    </row>
    <row r="267" spans="2:17" ht="16.149999999999999" customHeight="1" x14ac:dyDescent="0.35">
      <c r="B267" s="332"/>
      <c r="C267" s="316"/>
      <c r="D267" s="316"/>
      <c r="E267" s="316"/>
      <c r="F267" s="317"/>
      <c r="G267" s="318"/>
      <c r="H267" s="220"/>
      <c r="I267" s="216" t="str">
        <f ca="1">'Translation Table'!H114</f>
        <v>SO2</v>
      </c>
      <c r="J267" s="116" t="s">
        <v>1015</v>
      </c>
      <c r="K267" s="135"/>
      <c r="L267" s="116" t="str">
        <f t="shared" si="7"/>
        <v>NA</v>
      </c>
      <c r="M267" s="116" t="s">
        <v>1110</v>
      </c>
    </row>
    <row r="268" spans="2:17" ht="16.149999999999999" customHeight="1" x14ac:dyDescent="0.35">
      <c r="B268" s="332"/>
      <c r="C268" s="316"/>
      <c r="D268" s="316"/>
      <c r="E268" s="316"/>
      <c r="F268" s="317" t="str">
        <f ca="1">'Translation Table'!H221</f>
        <v>Total unconventional onshore gas well population where exploration occurs without flaring or recovery</v>
      </c>
      <c r="G268" s="318"/>
      <c r="H268" s="217" t="str">
        <f ca="1">H269</f>
        <v>Well Count</v>
      </c>
      <c r="I268" s="216" t="str">
        <f ca="1">'Translation Table'!H108</f>
        <v>CH4</v>
      </c>
      <c r="J268" s="116">
        <v>4.3499999999999996</v>
      </c>
      <c r="K268" s="135"/>
      <c r="L268" s="116">
        <f t="shared" si="7"/>
        <v>4.3499999999999996</v>
      </c>
      <c r="M268" s="116" t="s">
        <v>1110</v>
      </c>
      <c r="Q268" s="133">
        <f>G268</f>
        <v>0</v>
      </c>
    </row>
    <row r="269" spans="2:17" ht="16.149999999999999" customHeight="1" x14ac:dyDescent="0.35">
      <c r="B269" s="332"/>
      <c r="C269" s="316"/>
      <c r="D269" s="316"/>
      <c r="E269" s="316"/>
      <c r="F269" s="317"/>
      <c r="G269" s="318"/>
      <c r="H269" s="219" t="str">
        <f ca="1">'Translation Table'!H269</f>
        <v>Well Count</v>
      </c>
      <c r="I269" s="216" t="str">
        <f ca="1">'Translation Table'!H109</f>
        <v>CO2</v>
      </c>
      <c r="J269" s="116">
        <v>0.32</v>
      </c>
      <c r="K269" s="135"/>
      <c r="L269" s="116">
        <f t="shared" si="7"/>
        <v>0.32</v>
      </c>
      <c r="M269" s="116" t="s">
        <v>1110</v>
      </c>
    </row>
    <row r="270" spans="2:17" ht="16.149999999999999" customHeight="1" x14ac:dyDescent="0.35">
      <c r="B270" s="332"/>
      <c r="C270" s="316"/>
      <c r="D270" s="316"/>
      <c r="E270" s="316"/>
      <c r="F270" s="317"/>
      <c r="G270" s="318"/>
      <c r="H270" s="219"/>
      <c r="I270" s="216" t="str">
        <f ca="1">'Translation Table'!H110</f>
        <v>N2O</v>
      </c>
      <c r="J270" s="116" t="s">
        <v>1015</v>
      </c>
      <c r="K270" s="135"/>
      <c r="L270" s="116" t="str">
        <f t="shared" si="7"/>
        <v>NA</v>
      </c>
      <c r="M270" s="116" t="s">
        <v>1110</v>
      </c>
    </row>
    <row r="271" spans="2:17" ht="16.149999999999999" customHeight="1" x14ac:dyDescent="0.35">
      <c r="B271" s="332"/>
      <c r="C271" s="316"/>
      <c r="D271" s="316"/>
      <c r="E271" s="316"/>
      <c r="F271" s="317"/>
      <c r="G271" s="318"/>
      <c r="H271" s="219"/>
      <c r="I271" s="216" t="str">
        <f ca="1">'Translation Table'!H111</f>
        <v>NOx</v>
      </c>
      <c r="J271" s="116" t="s">
        <v>1015</v>
      </c>
      <c r="K271" s="135"/>
      <c r="L271" s="116" t="str">
        <f t="shared" si="7"/>
        <v>NA</v>
      </c>
      <c r="M271" s="116" t="s">
        <v>1110</v>
      </c>
    </row>
    <row r="272" spans="2:17" ht="16.149999999999999" customHeight="1" x14ac:dyDescent="0.35">
      <c r="B272" s="332"/>
      <c r="C272" s="316"/>
      <c r="D272" s="316"/>
      <c r="E272" s="316"/>
      <c r="F272" s="317"/>
      <c r="G272" s="318"/>
      <c r="H272" s="219"/>
      <c r="I272" s="216" t="str">
        <f ca="1">'Translation Table'!H112</f>
        <v>CO</v>
      </c>
      <c r="J272" s="116" t="s">
        <v>1015</v>
      </c>
      <c r="K272" s="135"/>
      <c r="L272" s="116" t="str">
        <f t="shared" si="7"/>
        <v>NA</v>
      </c>
      <c r="M272" s="116" t="s">
        <v>1110</v>
      </c>
    </row>
    <row r="273" spans="2:17" ht="16.149999999999999" customHeight="1" x14ac:dyDescent="0.35">
      <c r="B273" s="332"/>
      <c r="C273" s="316"/>
      <c r="D273" s="316"/>
      <c r="E273" s="316"/>
      <c r="F273" s="317"/>
      <c r="G273" s="318"/>
      <c r="H273" s="227"/>
      <c r="I273" s="216" t="str">
        <f ca="1">'Translation Table'!H113</f>
        <v>NMVOC</v>
      </c>
      <c r="J273" s="116">
        <v>0.65</v>
      </c>
      <c r="K273" s="135"/>
      <c r="L273" s="116">
        <f t="shared" si="7"/>
        <v>0.65</v>
      </c>
      <c r="M273" s="116" t="s">
        <v>1110</v>
      </c>
    </row>
    <row r="274" spans="2:17" ht="16.149999999999999" customHeight="1" x14ac:dyDescent="0.35">
      <c r="B274" s="332"/>
      <c r="C274" s="316"/>
      <c r="D274" s="316"/>
      <c r="E274" s="316"/>
      <c r="F274" s="317"/>
      <c r="G274" s="318"/>
      <c r="H274" s="222"/>
      <c r="I274" s="216" t="str">
        <f ca="1">'Translation Table'!H114</f>
        <v>SO2</v>
      </c>
      <c r="J274" s="116" t="s">
        <v>1015</v>
      </c>
      <c r="K274" s="135"/>
      <c r="L274" s="116" t="str">
        <f t="shared" si="7"/>
        <v>NA</v>
      </c>
      <c r="M274" s="116" t="s">
        <v>1110</v>
      </c>
    </row>
    <row r="275" spans="2:17" ht="16.149999999999999" customHeight="1" x14ac:dyDescent="0.35">
      <c r="B275" s="332"/>
      <c r="C275" s="316"/>
      <c r="D275" s="316"/>
      <c r="E275" s="316"/>
      <c r="F275" s="317" t="str">
        <f ca="1">'Translation Table'!H222</f>
        <v>Onshore unconventional onshore gas production where exploration occurs without flaring or recovery</v>
      </c>
      <c r="G275" s="318"/>
      <c r="H275" s="223" t="str">
        <f ca="1">INDIRECT("'Lookup Tables'!B"&amp;78+P275) &amp;""</f>
        <v>E+06 m^3/y</v>
      </c>
      <c r="I275" s="216" t="str">
        <f ca="1">'Translation Table'!H108</f>
        <v>CH4</v>
      </c>
      <c r="J275" s="116">
        <v>2.52</v>
      </c>
      <c r="K275" s="135"/>
      <c r="L275" s="116">
        <f t="shared" si="7"/>
        <v>2.52</v>
      </c>
      <c r="M275" s="116" t="s">
        <v>1093</v>
      </c>
      <c r="P275" s="133">
        <v>3</v>
      </c>
      <c r="Q275" s="133">
        <f ca="1">(INDIRECT("'Lookup Tables'!D"&amp;78+P275) &amp;"")*G275</f>
        <v>0</v>
      </c>
    </row>
    <row r="276" spans="2:17" ht="16.149999999999999" customHeight="1" x14ac:dyDescent="0.35">
      <c r="B276" s="332"/>
      <c r="C276" s="316"/>
      <c r="D276" s="316"/>
      <c r="E276" s="316"/>
      <c r="F276" s="317"/>
      <c r="G276" s="318"/>
      <c r="H276" s="224"/>
      <c r="I276" s="216" t="str">
        <f ca="1">'Translation Table'!H109</f>
        <v>CO2</v>
      </c>
      <c r="J276" s="116">
        <v>0.19</v>
      </c>
      <c r="K276" s="135"/>
      <c r="L276" s="116">
        <f t="shared" si="7"/>
        <v>0.19</v>
      </c>
      <c r="M276" s="116" t="s">
        <v>1093</v>
      </c>
    </row>
    <row r="277" spans="2:17" ht="16.149999999999999" customHeight="1" x14ac:dyDescent="0.35">
      <c r="B277" s="332"/>
      <c r="C277" s="316"/>
      <c r="D277" s="316"/>
      <c r="E277" s="316"/>
      <c r="F277" s="317"/>
      <c r="G277" s="318"/>
      <c r="H277" s="224"/>
      <c r="I277" s="216" t="str">
        <f ca="1">'Translation Table'!H110</f>
        <v>N2O</v>
      </c>
      <c r="J277" s="116" t="s">
        <v>1015</v>
      </c>
      <c r="K277" s="135"/>
      <c r="L277" s="116" t="str">
        <f t="shared" si="7"/>
        <v>NA</v>
      </c>
      <c r="M277" s="116" t="s">
        <v>1093</v>
      </c>
    </row>
    <row r="278" spans="2:17" ht="16.149999999999999" customHeight="1" x14ac:dyDescent="0.35">
      <c r="B278" s="332"/>
      <c r="C278" s="316"/>
      <c r="D278" s="316"/>
      <c r="E278" s="316"/>
      <c r="F278" s="317"/>
      <c r="G278" s="318"/>
      <c r="H278" s="224"/>
      <c r="I278" s="216" t="str">
        <f ca="1">'Translation Table'!H111</f>
        <v>NOx</v>
      </c>
      <c r="J278" s="116" t="s">
        <v>1015</v>
      </c>
      <c r="K278" s="135"/>
      <c r="L278" s="116" t="str">
        <f t="shared" si="7"/>
        <v>NA</v>
      </c>
      <c r="M278" s="116" t="s">
        <v>1093</v>
      </c>
    </row>
    <row r="279" spans="2:17" ht="16.149999999999999" customHeight="1" x14ac:dyDescent="0.35">
      <c r="B279" s="332"/>
      <c r="C279" s="316"/>
      <c r="D279" s="316"/>
      <c r="E279" s="316"/>
      <c r="F279" s="317"/>
      <c r="G279" s="318"/>
      <c r="H279" s="224"/>
      <c r="I279" s="216" t="str">
        <f ca="1">'Translation Table'!H112</f>
        <v>CO</v>
      </c>
      <c r="J279" s="116" t="s">
        <v>1015</v>
      </c>
      <c r="K279" s="135"/>
      <c r="L279" s="116" t="str">
        <f t="shared" ref="L279:L342" si="8">IF(OR(K279="",K279="NA"),J279,K279)</f>
        <v>NA</v>
      </c>
      <c r="M279" s="116" t="s">
        <v>1093</v>
      </c>
    </row>
    <row r="280" spans="2:17" ht="16.149999999999999" customHeight="1" x14ac:dyDescent="0.35">
      <c r="B280" s="332"/>
      <c r="C280" s="316"/>
      <c r="D280" s="316"/>
      <c r="E280" s="316"/>
      <c r="F280" s="317"/>
      <c r="G280" s="318"/>
      <c r="H280" s="227"/>
      <c r="I280" s="216" t="str">
        <f ca="1">'Translation Table'!H113</f>
        <v>NMVOC</v>
      </c>
      <c r="J280" s="116">
        <v>0.38</v>
      </c>
      <c r="K280" s="135"/>
      <c r="L280" s="116">
        <f t="shared" si="8"/>
        <v>0.38</v>
      </c>
      <c r="M280" s="116" t="s">
        <v>1093</v>
      </c>
    </row>
    <row r="281" spans="2:17" ht="16.149999999999999" customHeight="1" x14ac:dyDescent="0.35">
      <c r="B281" s="332"/>
      <c r="C281" s="316"/>
      <c r="D281" s="316"/>
      <c r="E281" s="316"/>
      <c r="F281" s="317"/>
      <c r="G281" s="318"/>
      <c r="H281" s="222"/>
      <c r="I281" s="216" t="str">
        <f ca="1">'Translation Table'!H114</f>
        <v>SO2</v>
      </c>
      <c r="J281" s="116" t="s">
        <v>1015</v>
      </c>
      <c r="K281" s="135"/>
      <c r="L281" s="116" t="str">
        <f t="shared" si="8"/>
        <v>NA</v>
      </c>
      <c r="M281" s="116" t="s">
        <v>1093</v>
      </c>
    </row>
    <row r="282" spans="2:17" ht="16.149999999999999" customHeight="1" x14ac:dyDescent="0.35">
      <c r="B282" s="332"/>
      <c r="C282" s="316" t="str">
        <f ca="1">'Translation Table'!H156</f>
        <v>Onshore unconventional gas exploration with flaring or gas capture</v>
      </c>
      <c r="D282" s="316"/>
      <c r="E282" s="316"/>
      <c r="F282" s="317" t="str">
        <f ca="1">'Translation Table'!H223</f>
        <v>Unconventional onshore gas wells drilled in a year, with flaring or recovery</v>
      </c>
      <c r="G282" s="318"/>
      <c r="H282" s="217" t="str">
        <f ca="1">H283</f>
        <v>Well Count</v>
      </c>
      <c r="I282" s="216" t="str">
        <f ca="1">'Translation Table'!H108</f>
        <v>CH4</v>
      </c>
      <c r="J282" s="116">
        <v>1.3</v>
      </c>
      <c r="K282" s="135"/>
      <c r="L282" s="116">
        <f t="shared" si="8"/>
        <v>1.3</v>
      </c>
      <c r="M282" s="116" t="s">
        <v>1110</v>
      </c>
      <c r="Q282" s="133">
        <f>G282</f>
        <v>0</v>
      </c>
    </row>
    <row r="283" spans="2:17" ht="16.149999999999999" customHeight="1" x14ac:dyDescent="0.35">
      <c r="B283" s="332"/>
      <c r="C283" s="316"/>
      <c r="D283" s="316"/>
      <c r="E283" s="316"/>
      <c r="F283" s="317"/>
      <c r="G283" s="318"/>
      <c r="H283" s="219" t="str">
        <f ca="1">'Translation Table'!H269</f>
        <v>Well Count</v>
      </c>
      <c r="I283" s="216" t="str">
        <f ca="1">'Translation Table'!H109</f>
        <v>CO2</v>
      </c>
      <c r="J283" s="116">
        <v>47</v>
      </c>
      <c r="K283" s="135"/>
      <c r="L283" s="116">
        <f t="shared" si="8"/>
        <v>47</v>
      </c>
      <c r="M283" s="116" t="s">
        <v>1110</v>
      </c>
    </row>
    <row r="284" spans="2:17" ht="16.149999999999999" customHeight="1" x14ac:dyDescent="0.35">
      <c r="B284" s="332"/>
      <c r="C284" s="316"/>
      <c r="D284" s="316"/>
      <c r="E284" s="316"/>
      <c r="F284" s="317"/>
      <c r="G284" s="318"/>
      <c r="H284" s="219"/>
      <c r="I284" s="216" t="str">
        <f ca="1">'Translation Table'!H110</f>
        <v>N2O</v>
      </c>
      <c r="J284" s="116">
        <v>3.4000000000000002E-4</v>
      </c>
      <c r="K284" s="135"/>
      <c r="L284" s="116">
        <f t="shared" si="8"/>
        <v>3.4000000000000002E-4</v>
      </c>
      <c r="M284" s="116" t="s">
        <v>1110</v>
      </c>
    </row>
    <row r="285" spans="2:17" ht="16.149999999999999" customHeight="1" x14ac:dyDescent="0.35">
      <c r="B285" s="332"/>
      <c r="C285" s="316"/>
      <c r="D285" s="316"/>
      <c r="E285" s="316"/>
      <c r="F285" s="317"/>
      <c r="G285" s="318"/>
      <c r="H285" s="219"/>
      <c r="I285" s="216" t="str">
        <f ca="1">'Translation Table'!H111</f>
        <v>NOx</v>
      </c>
      <c r="J285" s="116" t="s">
        <v>1015</v>
      </c>
      <c r="K285" s="135"/>
      <c r="L285" s="116" t="str">
        <f t="shared" si="8"/>
        <v>NA</v>
      </c>
      <c r="M285" s="116" t="s">
        <v>1110</v>
      </c>
    </row>
    <row r="286" spans="2:17" ht="16.149999999999999" customHeight="1" x14ac:dyDescent="0.35">
      <c r="B286" s="332"/>
      <c r="C286" s="316"/>
      <c r="D286" s="316"/>
      <c r="E286" s="316"/>
      <c r="F286" s="317"/>
      <c r="G286" s="318"/>
      <c r="H286" s="219"/>
      <c r="I286" s="216" t="str">
        <f ca="1">'Translation Table'!H112</f>
        <v>CO</v>
      </c>
      <c r="J286" s="116" t="s">
        <v>1015</v>
      </c>
      <c r="K286" s="135"/>
      <c r="L286" s="116" t="str">
        <f t="shared" si="8"/>
        <v>NA</v>
      </c>
      <c r="M286" s="116" t="s">
        <v>1110</v>
      </c>
    </row>
    <row r="287" spans="2:17" ht="16.149999999999999" customHeight="1" x14ac:dyDescent="0.35">
      <c r="B287" s="332"/>
      <c r="C287" s="316"/>
      <c r="D287" s="316"/>
      <c r="E287" s="316"/>
      <c r="F287" s="317"/>
      <c r="G287" s="318"/>
      <c r="H287" s="227"/>
      <c r="I287" s="216" t="str">
        <f ca="1">'Translation Table'!H113</f>
        <v>NMVOC</v>
      </c>
      <c r="J287" s="116">
        <v>0.19</v>
      </c>
      <c r="K287" s="135"/>
      <c r="L287" s="116">
        <f t="shared" si="8"/>
        <v>0.19</v>
      </c>
      <c r="M287" s="116" t="s">
        <v>1110</v>
      </c>
    </row>
    <row r="288" spans="2:17" ht="16.149999999999999" customHeight="1" x14ac:dyDescent="0.35">
      <c r="B288" s="332"/>
      <c r="C288" s="316"/>
      <c r="D288" s="316"/>
      <c r="E288" s="316"/>
      <c r="F288" s="317"/>
      <c r="G288" s="318"/>
      <c r="H288" s="222"/>
      <c r="I288" s="216" t="str">
        <f ca="1">'Translation Table'!H114</f>
        <v>SO2</v>
      </c>
      <c r="J288" s="116" t="s">
        <v>1015</v>
      </c>
      <c r="K288" s="135"/>
      <c r="L288" s="116" t="str">
        <f t="shared" si="8"/>
        <v>NA</v>
      </c>
      <c r="M288" s="116" t="s">
        <v>1110</v>
      </c>
    </row>
    <row r="289" spans="2:17" ht="16.149999999999999" customHeight="1" x14ac:dyDescent="0.35">
      <c r="B289" s="332"/>
      <c r="C289" s="316"/>
      <c r="D289" s="316"/>
      <c r="E289" s="316"/>
      <c r="F289" s="317" t="str">
        <f ca="1">'Translation Table'!H224</f>
        <v>Total unconventional onshore gas well population where exploration occurs with flaring or recovery</v>
      </c>
      <c r="G289" s="318"/>
      <c r="H289" s="217" t="str">
        <f ca="1">H290</f>
        <v>Well Count</v>
      </c>
      <c r="I289" s="216" t="str">
        <f ca="1">'Translation Table'!H108</f>
        <v>CH4</v>
      </c>
      <c r="J289" s="116">
        <v>0.05</v>
      </c>
      <c r="K289" s="135"/>
      <c r="L289" s="116">
        <f t="shared" si="8"/>
        <v>0.05</v>
      </c>
      <c r="M289" s="116" t="s">
        <v>1110</v>
      </c>
      <c r="Q289" s="133">
        <f>G289</f>
        <v>0</v>
      </c>
    </row>
    <row r="290" spans="2:17" ht="16.149999999999999" customHeight="1" x14ac:dyDescent="0.35">
      <c r="B290" s="332"/>
      <c r="C290" s="316"/>
      <c r="D290" s="316"/>
      <c r="E290" s="316"/>
      <c r="F290" s="317"/>
      <c r="G290" s="318"/>
      <c r="H290" s="219" t="str">
        <f ca="1">'Translation Table'!H269</f>
        <v>Well Count</v>
      </c>
      <c r="I290" s="216" t="str">
        <f ca="1">'Translation Table'!H109</f>
        <v>CO2</v>
      </c>
      <c r="J290" s="116">
        <v>1.93</v>
      </c>
      <c r="K290" s="135"/>
      <c r="L290" s="116">
        <f t="shared" si="8"/>
        <v>1.93</v>
      </c>
      <c r="M290" s="116" t="s">
        <v>1110</v>
      </c>
    </row>
    <row r="291" spans="2:17" ht="16.149999999999999" customHeight="1" x14ac:dyDescent="0.35">
      <c r="B291" s="332"/>
      <c r="C291" s="316"/>
      <c r="D291" s="316"/>
      <c r="E291" s="316"/>
      <c r="F291" s="317"/>
      <c r="G291" s="318"/>
      <c r="H291" s="219"/>
      <c r="I291" s="216" t="str">
        <f ca="1">'Translation Table'!H110</f>
        <v>N2O</v>
      </c>
      <c r="J291" s="116">
        <v>1.4E-5</v>
      </c>
      <c r="K291" s="135"/>
      <c r="L291" s="116">
        <f t="shared" si="8"/>
        <v>1.4E-5</v>
      </c>
      <c r="M291" s="116" t="s">
        <v>1110</v>
      </c>
    </row>
    <row r="292" spans="2:17" ht="16.149999999999999" customHeight="1" x14ac:dyDescent="0.35">
      <c r="B292" s="332"/>
      <c r="C292" s="316"/>
      <c r="D292" s="316"/>
      <c r="E292" s="316"/>
      <c r="F292" s="317"/>
      <c r="G292" s="318"/>
      <c r="H292" s="219"/>
      <c r="I292" s="216" t="str">
        <f ca="1">'Translation Table'!H111</f>
        <v>NOx</v>
      </c>
      <c r="J292" s="116" t="s">
        <v>1015</v>
      </c>
      <c r="K292" s="135"/>
      <c r="L292" s="116" t="str">
        <f t="shared" si="8"/>
        <v>NA</v>
      </c>
      <c r="M292" s="116" t="s">
        <v>1110</v>
      </c>
    </row>
    <row r="293" spans="2:17" ht="16.149999999999999" customHeight="1" x14ac:dyDescent="0.35">
      <c r="B293" s="332"/>
      <c r="C293" s="316"/>
      <c r="D293" s="316"/>
      <c r="E293" s="316"/>
      <c r="F293" s="317"/>
      <c r="G293" s="318"/>
      <c r="H293" s="219"/>
      <c r="I293" s="216" t="str">
        <f ca="1">'Translation Table'!H112</f>
        <v>CO</v>
      </c>
      <c r="J293" s="116" t="s">
        <v>1015</v>
      </c>
      <c r="K293" s="135"/>
      <c r="L293" s="116" t="str">
        <f t="shared" si="8"/>
        <v>NA</v>
      </c>
      <c r="M293" s="116" t="s">
        <v>1110</v>
      </c>
    </row>
    <row r="294" spans="2:17" ht="16.149999999999999" customHeight="1" x14ac:dyDescent="0.35">
      <c r="B294" s="332"/>
      <c r="C294" s="316"/>
      <c r="D294" s="316"/>
      <c r="E294" s="316"/>
      <c r="F294" s="317"/>
      <c r="G294" s="318"/>
      <c r="H294" s="227"/>
      <c r="I294" s="216" t="str">
        <f ca="1">'Translation Table'!H113</f>
        <v>NMVOC</v>
      </c>
      <c r="J294" s="116">
        <v>7.1000000000000004E-3</v>
      </c>
      <c r="K294" s="135"/>
      <c r="L294" s="116">
        <f t="shared" si="8"/>
        <v>7.1000000000000004E-3</v>
      </c>
      <c r="M294" s="116" t="s">
        <v>1110</v>
      </c>
    </row>
    <row r="295" spans="2:17" ht="16.149999999999999" customHeight="1" x14ac:dyDescent="0.35">
      <c r="B295" s="332"/>
      <c r="C295" s="316"/>
      <c r="D295" s="316"/>
      <c r="E295" s="316"/>
      <c r="F295" s="317"/>
      <c r="G295" s="318"/>
      <c r="H295" s="222"/>
      <c r="I295" s="216" t="str">
        <f ca="1">'Translation Table'!H114</f>
        <v>SO2</v>
      </c>
      <c r="J295" s="116" t="s">
        <v>1015</v>
      </c>
      <c r="K295" s="135"/>
      <c r="L295" s="116" t="str">
        <f t="shared" si="8"/>
        <v>NA</v>
      </c>
      <c r="M295" s="116" t="s">
        <v>1110</v>
      </c>
    </row>
    <row r="296" spans="2:17" ht="16.149999999999999" customHeight="1" x14ac:dyDescent="0.35">
      <c r="B296" s="332"/>
      <c r="C296" s="316"/>
      <c r="D296" s="316"/>
      <c r="E296" s="316"/>
      <c r="F296" s="317" t="str">
        <f ca="1">'Translation Table'!H225</f>
        <v>Onshore unconventional gas production where exploration occurs with flaring or recovery</v>
      </c>
      <c r="G296" s="318"/>
      <c r="H296" s="223" t="str">
        <f ca="1">INDIRECT("'Lookup Tables'!B"&amp;78+P296) &amp;""</f>
        <v>E+06 m^3/y</v>
      </c>
      <c r="I296" s="216" t="str">
        <f ca="1">'Translation Table'!H108</f>
        <v>CH4</v>
      </c>
      <c r="J296" s="116">
        <v>0.08</v>
      </c>
      <c r="K296" s="135"/>
      <c r="L296" s="116">
        <f t="shared" si="8"/>
        <v>0.08</v>
      </c>
      <c r="M296" s="116" t="s">
        <v>1093</v>
      </c>
      <c r="P296" s="133">
        <v>3</v>
      </c>
      <c r="Q296" s="133">
        <f ca="1">(INDIRECT("'Lookup Tables'!D"&amp;78+P296) &amp;"")*G296</f>
        <v>0</v>
      </c>
    </row>
    <row r="297" spans="2:17" ht="16.149999999999999" customHeight="1" x14ac:dyDescent="0.35">
      <c r="B297" s="332"/>
      <c r="C297" s="316"/>
      <c r="D297" s="316"/>
      <c r="E297" s="316"/>
      <c r="F297" s="317"/>
      <c r="G297" s="318"/>
      <c r="H297" s="224"/>
      <c r="I297" s="216" t="str">
        <f ca="1">'Translation Table'!H109</f>
        <v>CO2</v>
      </c>
      <c r="J297" s="116">
        <v>3.16</v>
      </c>
      <c r="K297" s="135"/>
      <c r="L297" s="116">
        <f t="shared" si="8"/>
        <v>3.16</v>
      </c>
      <c r="M297" s="116" t="s">
        <v>1093</v>
      </c>
    </row>
    <row r="298" spans="2:17" ht="16.149999999999999" customHeight="1" x14ac:dyDescent="0.35">
      <c r="B298" s="332"/>
      <c r="C298" s="316"/>
      <c r="D298" s="316"/>
      <c r="E298" s="316"/>
      <c r="F298" s="317"/>
      <c r="G298" s="318"/>
      <c r="H298" s="224"/>
      <c r="I298" s="216" t="str">
        <f ca="1">'Translation Table'!H110</f>
        <v>N2O</v>
      </c>
      <c r="J298" s="116">
        <v>2.3E-5</v>
      </c>
      <c r="K298" s="135"/>
      <c r="L298" s="116">
        <f t="shared" si="8"/>
        <v>2.3E-5</v>
      </c>
      <c r="M298" s="116" t="s">
        <v>1093</v>
      </c>
    </row>
    <row r="299" spans="2:17" ht="16.149999999999999" customHeight="1" x14ac:dyDescent="0.35">
      <c r="B299" s="332"/>
      <c r="C299" s="316"/>
      <c r="D299" s="316"/>
      <c r="E299" s="316"/>
      <c r="F299" s="317"/>
      <c r="G299" s="318"/>
      <c r="H299" s="224"/>
      <c r="I299" s="216" t="str">
        <f ca="1">'Translation Table'!H111</f>
        <v>NOx</v>
      </c>
      <c r="J299" s="116" t="s">
        <v>1015</v>
      </c>
      <c r="K299" s="135"/>
      <c r="L299" s="116" t="str">
        <f t="shared" si="8"/>
        <v>NA</v>
      </c>
      <c r="M299" s="116" t="s">
        <v>1093</v>
      </c>
    </row>
    <row r="300" spans="2:17" ht="16.149999999999999" customHeight="1" x14ac:dyDescent="0.35">
      <c r="B300" s="332"/>
      <c r="C300" s="316"/>
      <c r="D300" s="316"/>
      <c r="E300" s="316"/>
      <c r="F300" s="317"/>
      <c r="G300" s="318"/>
      <c r="H300" s="224"/>
      <c r="I300" s="216" t="str">
        <f ca="1">'Translation Table'!H112</f>
        <v>CO</v>
      </c>
      <c r="J300" s="116" t="s">
        <v>1015</v>
      </c>
      <c r="K300" s="135"/>
      <c r="L300" s="116" t="str">
        <f t="shared" si="8"/>
        <v>NA</v>
      </c>
      <c r="M300" s="116" t="s">
        <v>1093</v>
      </c>
    </row>
    <row r="301" spans="2:17" ht="16.149999999999999" customHeight="1" x14ac:dyDescent="0.35">
      <c r="B301" s="332"/>
      <c r="C301" s="316"/>
      <c r="D301" s="316"/>
      <c r="E301" s="316"/>
      <c r="F301" s="317"/>
      <c r="G301" s="318"/>
      <c r="H301" s="227"/>
      <c r="I301" s="216" t="str">
        <f ca="1">'Translation Table'!H113</f>
        <v>NMVOC</v>
      </c>
      <c r="J301" s="116">
        <v>1.2999999999999999E-2</v>
      </c>
      <c r="K301" s="135"/>
      <c r="L301" s="116">
        <f t="shared" si="8"/>
        <v>1.2999999999999999E-2</v>
      </c>
      <c r="M301" s="116" t="s">
        <v>1093</v>
      </c>
    </row>
    <row r="302" spans="2:17" ht="16.149999999999999" customHeight="1" x14ac:dyDescent="0.35">
      <c r="B302" s="332"/>
      <c r="C302" s="316"/>
      <c r="D302" s="316"/>
      <c r="E302" s="316"/>
      <c r="F302" s="317"/>
      <c r="G302" s="318"/>
      <c r="H302" s="222"/>
      <c r="I302" s="216" t="str">
        <f ca="1">'Translation Table'!H114</f>
        <v>SO2</v>
      </c>
      <c r="J302" s="116" t="s">
        <v>1015</v>
      </c>
      <c r="K302" s="135"/>
      <c r="L302" s="116" t="str">
        <f t="shared" si="8"/>
        <v>NA</v>
      </c>
      <c r="M302" s="116" t="s">
        <v>1093</v>
      </c>
    </row>
    <row r="303" spans="2:17" ht="16.149999999999999" customHeight="1" x14ac:dyDescent="0.35">
      <c r="B303" s="332"/>
      <c r="C303" s="316" t="str">
        <f ca="1">'Translation Table'!H157</f>
        <v>Onshore conventional Gas exploration</v>
      </c>
      <c r="D303" s="316"/>
      <c r="E303" s="316"/>
      <c r="F303" s="317" t="str">
        <f ca="1">'Translation Table'!H226</f>
        <v>Onshore conventional gas wells drilled in a year</v>
      </c>
      <c r="G303" s="318"/>
      <c r="H303" s="217" t="str">
        <f ca="1">H304</f>
        <v>Well Count</v>
      </c>
      <c r="I303" s="216" t="str">
        <f ca="1">'Translation Table'!H108</f>
        <v>CH4</v>
      </c>
      <c r="J303" s="116">
        <v>5.78</v>
      </c>
      <c r="K303" s="135"/>
      <c r="L303" s="116">
        <f t="shared" si="8"/>
        <v>5.78</v>
      </c>
      <c r="M303" s="116" t="s">
        <v>1110</v>
      </c>
      <c r="Q303" s="133">
        <f>G303</f>
        <v>0</v>
      </c>
    </row>
    <row r="304" spans="2:17" ht="16.149999999999999" customHeight="1" x14ac:dyDescent="0.35">
      <c r="B304" s="332"/>
      <c r="C304" s="316"/>
      <c r="D304" s="316"/>
      <c r="E304" s="316"/>
      <c r="F304" s="317"/>
      <c r="G304" s="318"/>
      <c r="H304" s="219" t="str">
        <f ca="1">'Translation Table'!H269</f>
        <v>Well Count</v>
      </c>
      <c r="I304" s="216" t="str">
        <f ca="1">'Translation Table'!H109</f>
        <v>CO2</v>
      </c>
      <c r="J304" s="116">
        <v>4.72</v>
      </c>
      <c r="K304" s="135"/>
      <c r="L304" s="116">
        <f t="shared" si="8"/>
        <v>4.72</v>
      </c>
      <c r="M304" s="116" t="s">
        <v>1110</v>
      </c>
    </row>
    <row r="305" spans="2:17" ht="16.149999999999999" customHeight="1" x14ac:dyDescent="0.35">
      <c r="B305" s="332"/>
      <c r="C305" s="316"/>
      <c r="D305" s="316"/>
      <c r="E305" s="316"/>
      <c r="F305" s="317"/>
      <c r="G305" s="318"/>
      <c r="H305" s="219"/>
      <c r="I305" s="216" t="str">
        <f ca="1">'Translation Table'!H110</f>
        <v>N2O</v>
      </c>
      <c r="J305" s="116">
        <v>3.4E-5</v>
      </c>
      <c r="K305" s="135"/>
      <c r="L305" s="116">
        <f t="shared" si="8"/>
        <v>3.4E-5</v>
      </c>
      <c r="M305" s="116" t="s">
        <v>1110</v>
      </c>
    </row>
    <row r="306" spans="2:17" ht="16.149999999999999" customHeight="1" x14ac:dyDescent="0.35">
      <c r="B306" s="332"/>
      <c r="C306" s="316"/>
      <c r="D306" s="316"/>
      <c r="E306" s="316"/>
      <c r="F306" s="317"/>
      <c r="G306" s="318"/>
      <c r="H306" s="219"/>
      <c r="I306" s="216" t="str">
        <f ca="1">'Translation Table'!H111</f>
        <v>NOx</v>
      </c>
      <c r="J306" s="116" t="s">
        <v>1015</v>
      </c>
      <c r="K306" s="135"/>
      <c r="L306" s="116" t="str">
        <f t="shared" si="8"/>
        <v>NA</v>
      </c>
      <c r="M306" s="116" t="s">
        <v>1110</v>
      </c>
    </row>
    <row r="307" spans="2:17" ht="16.149999999999999" customHeight="1" x14ac:dyDescent="0.35">
      <c r="B307" s="332"/>
      <c r="C307" s="316"/>
      <c r="D307" s="316"/>
      <c r="E307" s="316"/>
      <c r="F307" s="317"/>
      <c r="G307" s="318"/>
      <c r="H307" s="219"/>
      <c r="I307" s="216" t="str">
        <f ca="1">'Translation Table'!H112</f>
        <v>CO</v>
      </c>
      <c r="J307" s="116" t="s">
        <v>1015</v>
      </c>
      <c r="K307" s="135"/>
      <c r="L307" s="116" t="str">
        <f t="shared" si="8"/>
        <v>NA</v>
      </c>
      <c r="M307" s="116" t="s">
        <v>1110</v>
      </c>
    </row>
    <row r="308" spans="2:17" ht="16.149999999999999" customHeight="1" x14ac:dyDescent="0.35">
      <c r="B308" s="332"/>
      <c r="C308" s="316"/>
      <c r="D308" s="316"/>
      <c r="E308" s="316"/>
      <c r="F308" s="317"/>
      <c r="G308" s="318"/>
      <c r="H308" s="227"/>
      <c r="I308" s="216" t="str">
        <f ca="1">'Translation Table'!H113</f>
        <v>NMVOC</v>
      </c>
      <c r="J308" s="116">
        <v>0.87</v>
      </c>
      <c r="K308" s="135"/>
      <c r="L308" s="116">
        <f t="shared" si="8"/>
        <v>0.87</v>
      </c>
      <c r="M308" s="116" t="s">
        <v>1110</v>
      </c>
    </row>
    <row r="309" spans="2:17" ht="16.149999999999999" customHeight="1" x14ac:dyDescent="0.35">
      <c r="B309" s="332"/>
      <c r="C309" s="316"/>
      <c r="D309" s="316"/>
      <c r="E309" s="316"/>
      <c r="F309" s="317"/>
      <c r="G309" s="318"/>
      <c r="H309" s="222"/>
      <c r="I309" s="216" t="str">
        <f ca="1">'Translation Table'!H114</f>
        <v>SO2</v>
      </c>
      <c r="J309" s="116" t="s">
        <v>1015</v>
      </c>
      <c r="K309" s="135"/>
      <c r="L309" s="116" t="str">
        <f t="shared" si="8"/>
        <v>NA</v>
      </c>
      <c r="M309" s="116" t="s">
        <v>1110</v>
      </c>
    </row>
    <row r="310" spans="2:17" ht="16.149999999999999" customHeight="1" x14ac:dyDescent="0.35">
      <c r="B310" s="332"/>
      <c r="C310" s="316"/>
      <c r="D310" s="316"/>
      <c r="E310" s="316"/>
      <c r="F310" s="317" t="str">
        <f ca="1">'Translation Table'!H227</f>
        <v>Total conventional onshore gas well population</v>
      </c>
      <c r="G310" s="318"/>
      <c r="H310" s="217" t="str">
        <f ca="1">H311</f>
        <v>Well Count</v>
      </c>
      <c r="I310" s="216" t="str">
        <f ca="1">'Translation Table'!H108</f>
        <v>CH4</v>
      </c>
      <c r="J310" s="116">
        <v>0.03</v>
      </c>
      <c r="K310" s="135"/>
      <c r="L310" s="116">
        <f t="shared" si="8"/>
        <v>0.03</v>
      </c>
      <c r="M310" s="116" t="s">
        <v>1110</v>
      </c>
      <c r="Q310" s="133">
        <f>G310</f>
        <v>0</v>
      </c>
    </row>
    <row r="311" spans="2:17" ht="16.149999999999999" customHeight="1" x14ac:dyDescent="0.35">
      <c r="B311" s="332"/>
      <c r="C311" s="316"/>
      <c r="D311" s="316"/>
      <c r="E311" s="316"/>
      <c r="F311" s="317"/>
      <c r="G311" s="318"/>
      <c r="H311" s="219" t="str">
        <f ca="1">'Translation Table'!H269</f>
        <v>Well Count</v>
      </c>
      <c r="I311" s="216" t="str">
        <f ca="1">'Translation Table'!H109</f>
        <v>CO2</v>
      </c>
      <c r="J311" s="116">
        <v>0.03</v>
      </c>
      <c r="K311" s="135"/>
      <c r="L311" s="116">
        <f t="shared" si="8"/>
        <v>0.03</v>
      </c>
      <c r="M311" s="116" t="s">
        <v>1110</v>
      </c>
    </row>
    <row r="312" spans="2:17" ht="16.149999999999999" customHeight="1" x14ac:dyDescent="0.35">
      <c r="B312" s="332"/>
      <c r="C312" s="316"/>
      <c r="D312" s="316"/>
      <c r="E312" s="316"/>
      <c r="F312" s="317"/>
      <c r="G312" s="318"/>
      <c r="H312" s="219"/>
      <c r="I312" s="216" t="str">
        <f ca="1">'Translation Table'!H110</f>
        <v>N2O</v>
      </c>
      <c r="J312" s="116">
        <v>2.2000000000000001E-7</v>
      </c>
      <c r="K312" s="135"/>
      <c r="L312" s="116">
        <f t="shared" si="8"/>
        <v>2.2000000000000001E-7</v>
      </c>
      <c r="M312" s="116" t="s">
        <v>1110</v>
      </c>
    </row>
    <row r="313" spans="2:17" ht="16.149999999999999" customHeight="1" x14ac:dyDescent="0.35">
      <c r="B313" s="332"/>
      <c r="C313" s="316"/>
      <c r="D313" s="316"/>
      <c r="E313" s="316"/>
      <c r="F313" s="317"/>
      <c r="G313" s="318"/>
      <c r="H313" s="219"/>
      <c r="I313" s="216" t="str">
        <f ca="1">'Translation Table'!H111</f>
        <v>NOx</v>
      </c>
      <c r="J313" s="116" t="s">
        <v>1015</v>
      </c>
      <c r="K313" s="135"/>
      <c r="L313" s="116" t="str">
        <f t="shared" si="8"/>
        <v>NA</v>
      </c>
      <c r="M313" s="116" t="s">
        <v>1110</v>
      </c>
    </row>
    <row r="314" spans="2:17" ht="16.149999999999999" customHeight="1" x14ac:dyDescent="0.35">
      <c r="B314" s="332"/>
      <c r="C314" s="316"/>
      <c r="D314" s="316"/>
      <c r="E314" s="316"/>
      <c r="F314" s="317"/>
      <c r="G314" s="318"/>
      <c r="H314" s="219"/>
      <c r="I314" s="216" t="str">
        <f ca="1">'Translation Table'!H112</f>
        <v>CO</v>
      </c>
      <c r="J314" s="116" t="s">
        <v>1015</v>
      </c>
      <c r="K314" s="135"/>
      <c r="L314" s="116" t="str">
        <f t="shared" si="8"/>
        <v>NA</v>
      </c>
      <c r="M314" s="116" t="s">
        <v>1110</v>
      </c>
    </row>
    <row r="315" spans="2:17" ht="16.149999999999999" customHeight="1" x14ac:dyDescent="0.35">
      <c r="B315" s="332"/>
      <c r="C315" s="316"/>
      <c r="D315" s="316"/>
      <c r="E315" s="316"/>
      <c r="F315" s="317"/>
      <c r="G315" s="318"/>
      <c r="H315" s="227"/>
      <c r="I315" s="216" t="str">
        <f ca="1">'Translation Table'!H113</f>
        <v>NMVOC</v>
      </c>
      <c r="J315" s="116">
        <v>5.1999999999999998E-3</v>
      </c>
      <c r="K315" s="135"/>
      <c r="L315" s="116">
        <f t="shared" si="8"/>
        <v>5.1999999999999998E-3</v>
      </c>
      <c r="M315" s="116" t="s">
        <v>1110</v>
      </c>
    </row>
    <row r="316" spans="2:17" ht="16.149999999999999" customHeight="1" x14ac:dyDescent="0.35">
      <c r="B316" s="332"/>
      <c r="C316" s="316"/>
      <c r="D316" s="316"/>
      <c r="E316" s="316"/>
      <c r="F316" s="317"/>
      <c r="G316" s="318"/>
      <c r="H316" s="222"/>
      <c r="I316" s="216" t="str">
        <f ca="1">'Translation Table'!H114</f>
        <v>SO2</v>
      </c>
      <c r="J316" s="116" t="s">
        <v>1015</v>
      </c>
      <c r="K316" s="135"/>
      <c r="L316" s="116" t="str">
        <f t="shared" si="8"/>
        <v>NA</v>
      </c>
      <c r="M316" s="116" t="s">
        <v>1110</v>
      </c>
    </row>
    <row r="317" spans="2:17" ht="16.149999999999999" customHeight="1" x14ac:dyDescent="0.35">
      <c r="B317" s="332"/>
      <c r="C317" s="316"/>
      <c r="D317" s="316"/>
      <c r="E317" s="316"/>
      <c r="F317" s="317" t="str">
        <f ca="1">'Translation Table'!H228</f>
        <v>Onshore conventional gas production</v>
      </c>
      <c r="G317" s="318"/>
      <c r="H317" s="223" t="str">
        <f ca="1">INDIRECT("'Lookup Tables'!B"&amp;78+P317) &amp;""</f>
        <v>E+06 m^3/y</v>
      </c>
      <c r="I317" s="216" t="str">
        <f ca="1">'Translation Table'!H108</f>
        <v>CH4</v>
      </c>
      <c r="J317" s="116">
        <v>0.06</v>
      </c>
      <c r="K317" s="135"/>
      <c r="L317" s="116">
        <f t="shared" si="8"/>
        <v>0.06</v>
      </c>
      <c r="M317" s="116" t="s">
        <v>1093</v>
      </c>
      <c r="P317" s="133">
        <v>3</v>
      </c>
      <c r="Q317" s="133">
        <f ca="1">(INDIRECT("'Lookup Tables'!D"&amp;78+P317) &amp;"")*G317</f>
        <v>0</v>
      </c>
    </row>
    <row r="318" spans="2:17" ht="16.149999999999999" customHeight="1" x14ac:dyDescent="0.35">
      <c r="B318" s="332"/>
      <c r="C318" s="316"/>
      <c r="D318" s="316"/>
      <c r="E318" s="316"/>
      <c r="F318" s="317"/>
      <c r="G318" s="318"/>
      <c r="H318" s="224"/>
      <c r="I318" s="216" t="str">
        <f ca="1">'Translation Table'!H109</f>
        <v>CO2</v>
      </c>
      <c r="J318" s="116">
        <v>0.05</v>
      </c>
      <c r="K318" s="135"/>
      <c r="L318" s="116">
        <f t="shared" si="8"/>
        <v>0.05</v>
      </c>
      <c r="M318" s="116" t="s">
        <v>1093</v>
      </c>
    </row>
    <row r="319" spans="2:17" ht="16.149999999999999" customHeight="1" x14ac:dyDescent="0.35">
      <c r="B319" s="332"/>
      <c r="C319" s="316"/>
      <c r="D319" s="316"/>
      <c r="E319" s="316"/>
      <c r="F319" s="317"/>
      <c r="G319" s="318"/>
      <c r="H319" s="224"/>
      <c r="I319" s="216" t="str">
        <f ca="1">'Translation Table'!H110</f>
        <v>N2O</v>
      </c>
      <c r="J319" s="116">
        <v>3.5999999999999999E-7</v>
      </c>
      <c r="K319" s="135"/>
      <c r="L319" s="116">
        <f t="shared" si="8"/>
        <v>3.5999999999999999E-7</v>
      </c>
      <c r="M319" s="116" t="s">
        <v>1093</v>
      </c>
    </row>
    <row r="320" spans="2:17" ht="16.149999999999999" customHeight="1" x14ac:dyDescent="0.35">
      <c r="B320" s="332"/>
      <c r="C320" s="316"/>
      <c r="D320" s="316"/>
      <c r="E320" s="316"/>
      <c r="F320" s="317"/>
      <c r="G320" s="318"/>
      <c r="H320" s="224"/>
      <c r="I320" s="216" t="str">
        <f ca="1">'Translation Table'!H111</f>
        <v>NOx</v>
      </c>
      <c r="J320" s="116" t="s">
        <v>1015</v>
      </c>
      <c r="K320" s="135"/>
      <c r="L320" s="116" t="str">
        <f t="shared" si="8"/>
        <v>NA</v>
      </c>
      <c r="M320" s="116" t="s">
        <v>1093</v>
      </c>
    </row>
    <row r="321" spans="2:17" ht="16.149999999999999" customHeight="1" x14ac:dyDescent="0.35">
      <c r="B321" s="332"/>
      <c r="C321" s="316"/>
      <c r="D321" s="316"/>
      <c r="E321" s="316"/>
      <c r="F321" s="317"/>
      <c r="G321" s="318"/>
      <c r="H321" s="224"/>
      <c r="I321" s="216" t="str">
        <f ca="1">'Translation Table'!H112</f>
        <v>CO</v>
      </c>
      <c r="J321" s="116" t="s">
        <v>1015</v>
      </c>
      <c r="K321" s="135"/>
      <c r="L321" s="116" t="str">
        <f t="shared" si="8"/>
        <v>NA</v>
      </c>
      <c r="M321" s="116" t="s">
        <v>1093</v>
      </c>
    </row>
    <row r="322" spans="2:17" ht="16.149999999999999" customHeight="1" x14ac:dyDescent="0.35">
      <c r="B322" s="332"/>
      <c r="C322" s="316"/>
      <c r="D322" s="316"/>
      <c r="E322" s="316"/>
      <c r="F322" s="317"/>
      <c r="G322" s="318"/>
      <c r="H322" s="227"/>
      <c r="I322" s="216" t="str">
        <f ca="1">'Translation Table'!H113</f>
        <v>NMVOC</v>
      </c>
      <c r="J322" s="116">
        <v>8.6E-3</v>
      </c>
      <c r="K322" s="135"/>
      <c r="L322" s="116">
        <f t="shared" si="8"/>
        <v>8.6E-3</v>
      </c>
      <c r="M322" s="116" t="s">
        <v>1093</v>
      </c>
    </row>
    <row r="323" spans="2:17" ht="16.149999999999999" customHeight="1" x14ac:dyDescent="0.35">
      <c r="B323" s="332"/>
      <c r="C323" s="316"/>
      <c r="D323" s="316"/>
      <c r="E323" s="316"/>
      <c r="F323" s="317"/>
      <c r="G323" s="318"/>
      <c r="H323" s="222"/>
      <c r="I323" s="216" t="str">
        <f ca="1">'Translation Table'!H114</f>
        <v>SO2</v>
      </c>
      <c r="J323" s="116" t="s">
        <v>1015</v>
      </c>
      <c r="K323" s="135"/>
      <c r="L323" s="116" t="str">
        <f t="shared" si="8"/>
        <v>NA</v>
      </c>
      <c r="M323" s="116" t="s">
        <v>1093</v>
      </c>
    </row>
    <row r="324" spans="2:17" ht="16.149999999999999" customHeight="1" x14ac:dyDescent="0.35">
      <c r="B324" s="332" t="str">
        <f ca="1">'Translation Table'!H123</f>
        <v>Gas Production and Gathering</v>
      </c>
      <c r="C324" s="316" t="str">
        <f ca="1">'Translation Table'!H158</f>
        <v>Onshore: Most activities occurring with higher-emitting technologies and practices</v>
      </c>
      <c r="D324" s="316"/>
      <c r="E324" s="316"/>
      <c r="F324" s="317" t="str">
        <f ca="1">'Translation Table'!H229</f>
        <v>Onshore gas production</v>
      </c>
      <c r="G324" s="318"/>
      <c r="H324" s="223" t="str">
        <f ca="1">INDIRECT("'Lookup Tables'!B"&amp;78+P324) &amp;""</f>
        <v>E+06 m^3/y</v>
      </c>
      <c r="I324" s="216" t="str">
        <f ca="1">'Translation Table'!H108</f>
        <v>CH4</v>
      </c>
      <c r="J324" s="116">
        <v>4.09</v>
      </c>
      <c r="K324" s="135" t="s">
        <v>1015</v>
      </c>
      <c r="L324" s="116">
        <f t="shared" si="8"/>
        <v>4.09</v>
      </c>
      <c r="M324" s="116" t="s">
        <v>1093</v>
      </c>
      <c r="P324" s="133">
        <v>3</v>
      </c>
      <c r="Q324" s="133">
        <f ca="1">(INDIRECT("'Lookup Tables'!D"&amp;78+P324) &amp;"")*G324</f>
        <v>0</v>
      </c>
    </row>
    <row r="325" spans="2:17" ht="16.149999999999999" customHeight="1" x14ac:dyDescent="0.35">
      <c r="B325" s="332"/>
      <c r="C325" s="316"/>
      <c r="D325" s="316"/>
      <c r="E325" s="316"/>
      <c r="F325" s="317"/>
      <c r="G325" s="318"/>
      <c r="H325" s="224"/>
      <c r="I325" s="216" t="str">
        <f ca="1">'Translation Table'!H109</f>
        <v>CO2</v>
      </c>
      <c r="J325" s="116">
        <v>1.45</v>
      </c>
      <c r="K325" s="135" t="s">
        <v>1015</v>
      </c>
      <c r="L325" s="116">
        <f t="shared" si="8"/>
        <v>1.45</v>
      </c>
      <c r="M325" s="116" t="s">
        <v>1093</v>
      </c>
    </row>
    <row r="326" spans="2:17" ht="16.149999999999999" customHeight="1" x14ac:dyDescent="0.35">
      <c r="B326" s="332"/>
      <c r="C326" s="316"/>
      <c r="D326" s="316"/>
      <c r="E326" s="316"/>
      <c r="F326" s="317"/>
      <c r="G326" s="318"/>
      <c r="H326" s="224"/>
      <c r="I326" s="216" t="str">
        <f ca="1">'Translation Table'!H110</f>
        <v>N2O</v>
      </c>
      <c r="J326" s="116">
        <v>2.5000000000000001E-5</v>
      </c>
      <c r="K326" s="135" t="s">
        <v>1015</v>
      </c>
      <c r="L326" s="116">
        <f t="shared" si="8"/>
        <v>2.5000000000000001E-5</v>
      </c>
      <c r="M326" s="116" t="s">
        <v>1093</v>
      </c>
    </row>
    <row r="327" spans="2:17" ht="16.149999999999999" customHeight="1" x14ac:dyDescent="0.35">
      <c r="B327" s="332"/>
      <c r="C327" s="316"/>
      <c r="D327" s="316"/>
      <c r="E327" s="316"/>
      <c r="F327" s="317"/>
      <c r="G327" s="318"/>
      <c r="H327" s="224"/>
      <c r="I327" s="216" t="str">
        <f ca="1">'Translation Table'!H111</f>
        <v>NOx</v>
      </c>
      <c r="J327" s="116" t="s">
        <v>1015</v>
      </c>
      <c r="K327" s="135" t="s">
        <v>1015</v>
      </c>
      <c r="L327" s="116" t="str">
        <f t="shared" si="8"/>
        <v>NA</v>
      </c>
      <c r="M327" s="116" t="s">
        <v>1093</v>
      </c>
    </row>
    <row r="328" spans="2:17" ht="16.149999999999999" customHeight="1" x14ac:dyDescent="0.35">
      <c r="B328" s="332"/>
      <c r="C328" s="316"/>
      <c r="D328" s="316"/>
      <c r="E328" s="316"/>
      <c r="F328" s="317"/>
      <c r="G328" s="318"/>
      <c r="H328" s="224"/>
      <c r="I328" s="216" t="str">
        <f ca="1">'Translation Table'!H112</f>
        <v>CO</v>
      </c>
      <c r="J328" s="116" t="s">
        <v>1015</v>
      </c>
      <c r="K328" s="135" t="s">
        <v>1015</v>
      </c>
      <c r="L328" s="116" t="str">
        <f t="shared" si="8"/>
        <v>NA</v>
      </c>
      <c r="M328" s="116" t="s">
        <v>1093</v>
      </c>
    </row>
    <row r="329" spans="2:17" ht="16.149999999999999" customHeight="1" x14ac:dyDescent="0.35">
      <c r="B329" s="332"/>
      <c r="C329" s="316"/>
      <c r="D329" s="316"/>
      <c r="E329" s="316"/>
      <c r="F329" s="317"/>
      <c r="G329" s="318"/>
      <c r="H329" s="227"/>
      <c r="I329" s="216" t="str">
        <f ca="1">'Translation Table'!H113</f>
        <v>NMVOC</v>
      </c>
      <c r="J329" s="116">
        <v>0.98</v>
      </c>
      <c r="K329" s="135" t="s">
        <v>1015</v>
      </c>
      <c r="L329" s="116">
        <f t="shared" si="8"/>
        <v>0.98</v>
      </c>
      <c r="M329" s="116" t="s">
        <v>1093</v>
      </c>
    </row>
    <row r="330" spans="2:17" ht="16.149999999999999" customHeight="1" x14ac:dyDescent="0.35">
      <c r="B330" s="332"/>
      <c r="C330" s="316"/>
      <c r="D330" s="316"/>
      <c r="E330" s="316"/>
      <c r="F330" s="317"/>
      <c r="G330" s="318"/>
      <c r="H330" s="222"/>
      <c r="I330" s="216" t="str">
        <f ca="1">'Translation Table'!H114</f>
        <v>SO2</v>
      </c>
      <c r="J330" s="116" t="s">
        <v>1015</v>
      </c>
      <c r="K330" s="135" t="s">
        <v>1015</v>
      </c>
      <c r="L330" s="116" t="str">
        <f t="shared" si="8"/>
        <v>NA</v>
      </c>
      <c r="M330" s="116" t="s">
        <v>1093</v>
      </c>
    </row>
    <row r="331" spans="2:17" ht="16.149999999999999" customHeight="1" x14ac:dyDescent="0.35">
      <c r="B331" s="332"/>
      <c r="C331" s="316"/>
      <c r="D331" s="316"/>
      <c r="E331" s="316"/>
      <c r="F331" s="317" t="str">
        <f ca="1">'Translation Table'!H230</f>
        <v>Active gas well</v>
      </c>
      <c r="G331" s="318"/>
      <c r="H331" s="217" t="str">
        <f ca="1">H332</f>
        <v>Well Count</v>
      </c>
      <c r="I331" s="216" t="str">
        <f ca="1">'Translation Table'!H108</f>
        <v>CH4</v>
      </c>
      <c r="J331" s="116">
        <v>7.07</v>
      </c>
      <c r="K331" s="135" t="s">
        <v>1015</v>
      </c>
      <c r="L331" s="116">
        <f t="shared" si="8"/>
        <v>7.07</v>
      </c>
      <c r="M331" s="116" t="s">
        <v>1110</v>
      </c>
      <c r="Q331" s="133">
        <f>G331</f>
        <v>0</v>
      </c>
    </row>
    <row r="332" spans="2:17" ht="16.149999999999999" customHeight="1" x14ac:dyDescent="0.35">
      <c r="B332" s="332"/>
      <c r="C332" s="316"/>
      <c r="D332" s="316"/>
      <c r="E332" s="316"/>
      <c r="F332" s="317"/>
      <c r="G332" s="318"/>
      <c r="H332" s="219" t="str">
        <f ca="1">'Translation Table'!H269</f>
        <v>Well Count</v>
      </c>
      <c r="I332" s="216" t="str">
        <f ca="1">'Translation Table'!H109</f>
        <v>CO2</v>
      </c>
      <c r="J332" s="116">
        <v>2.5099999999999998</v>
      </c>
      <c r="K332" s="135" t="s">
        <v>1015</v>
      </c>
      <c r="L332" s="116">
        <f t="shared" si="8"/>
        <v>2.5099999999999998</v>
      </c>
      <c r="M332" s="116" t="s">
        <v>1110</v>
      </c>
    </row>
    <row r="333" spans="2:17" ht="16.149999999999999" customHeight="1" x14ac:dyDescent="0.35">
      <c r="B333" s="332"/>
      <c r="C333" s="316"/>
      <c r="D333" s="316"/>
      <c r="E333" s="316"/>
      <c r="F333" s="317"/>
      <c r="G333" s="318"/>
      <c r="H333" s="219"/>
      <c r="I333" s="216" t="str">
        <f ca="1">'Translation Table'!H110</f>
        <v>N2O</v>
      </c>
      <c r="J333" s="116">
        <v>4.3000000000000002E-5</v>
      </c>
      <c r="K333" s="135" t="s">
        <v>1015</v>
      </c>
      <c r="L333" s="116">
        <f t="shared" si="8"/>
        <v>4.3000000000000002E-5</v>
      </c>
      <c r="M333" s="116" t="s">
        <v>1110</v>
      </c>
    </row>
    <row r="334" spans="2:17" ht="16.149999999999999" customHeight="1" x14ac:dyDescent="0.35">
      <c r="B334" s="332"/>
      <c r="C334" s="316"/>
      <c r="D334" s="316"/>
      <c r="E334" s="316"/>
      <c r="F334" s="317"/>
      <c r="G334" s="318"/>
      <c r="H334" s="219"/>
      <c r="I334" s="216" t="str">
        <f ca="1">'Translation Table'!H111</f>
        <v>NOx</v>
      </c>
      <c r="J334" s="116" t="s">
        <v>1015</v>
      </c>
      <c r="K334" s="135" t="s">
        <v>1015</v>
      </c>
      <c r="L334" s="116" t="str">
        <f t="shared" si="8"/>
        <v>NA</v>
      </c>
      <c r="M334" s="116" t="s">
        <v>1110</v>
      </c>
    </row>
    <row r="335" spans="2:17" ht="16.149999999999999" customHeight="1" x14ac:dyDescent="0.35">
      <c r="B335" s="332"/>
      <c r="C335" s="316"/>
      <c r="D335" s="316"/>
      <c r="E335" s="316"/>
      <c r="F335" s="317"/>
      <c r="G335" s="318"/>
      <c r="H335" s="219"/>
      <c r="I335" s="216" t="str">
        <f ca="1">'Translation Table'!H112</f>
        <v>CO</v>
      </c>
      <c r="J335" s="116" t="s">
        <v>1015</v>
      </c>
      <c r="K335" s="135" t="s">
        <v>1015</v>
      </c>
      <c r="L335" s="116" t="str">
        <f t="shared" si="8"/>
        <v>NA</v>
      </c>
      <c r="M335" s="116" t="s">
        <v>1110</v>
      </c>
    </row>
    <row r="336" spans="2:17" ht="16.149999999999999" customHeight="1" x14ac:dyDescent="0.35">
      <c r="B336" s="332"/>
      <c r="C336" s="316"/>
      <c r="D336" s="316"/>
      <c r="E336" s="316"/>
      <c r="F336" s="317"/>
      <c r="G336" s="318"/>
      <c r="H336" s="227"/>
      <c r="I336" s="216" t="str">
        <f ca="1">'Translation Table'!H113</f>
        <v>NMVOC</v>
      </c>
      <c r="J336" s="116">
        <v>1.7</v>
      </c>
      <c r="K336" s="135" t="s">
        <v>1015</v>
      </c>
      <c r="L336" s="116">
        <f t="shared" si="8"/>
        <v>1.7</v>
      </c>
      <c r="M336" s="116" t="s">
        <v>1110</v>
      </c>
    </row>
    <row r="337" spans="2:17" ht="16.149999999999999" customHeight="1" x14ac:dyDescent="0.35">
      <c r="B337" s="332"/>
      <c r="C337" s="316"/>
      <c r="D337" s="316"/>
      <c r="E337" s="316"/>
      <c r="F337" s="317"/>
      <c r="G337" s="318"/>
      <c r="H337" s="222"/>
      <c r="I337" s="216" t="str">
        <f ca="1">'Translation Table'!H114</f>
        <v>SO2</v>
      </c>
      <c r="J337" s="116" t="s">
        <v>1015</v>
      </c>
      <c r="K337" s="135" t="s">
        <v>1015</v>
      </c>
      <c r="L337" s="116" t="str">
        <f t="shared" si="8"/>
        <v>NA</v>
      </c>
      <c r="M337" s="116" t="s">
        <v>1110</v>
      </c>
    </row>
    <row r="338" spans="2:17" ht="16.149999999999999" customHeight="1" x14ac:dyDescent="0.35">
      <c r="B338" s="332"/>
      <c r="C338" s="316" t="str">
        <f ca="1">'Translation Table'!H159</f>
        <v>Onshore: Most activities occurring with lower-emitting technologies and practices</v>
      </c>
      <c r="D338" s="316"/>
      <c r="E338" s="316"/>
      <c r="F338" s="321" t="str">
        <f ca="1">'Translation Table'!H231</f>
        <v>Onshore gas production</v>
      </c>
      <c r="G338" s="318"/>
      <c r="H338" s="223" t="str">
        <f ca="1">INDIRECT("'Lookup Tables'!B"&amp;78+P338) &amp;""</f>
        <v>E+06 m^3/y</v>
      </c>
      <c r="I338" s="216" t="str">
        <f ca="1">'Translation Table'!H108</f>
        <v>CH4</v>
      </c>
      <c r="J338" s="116">
        <v>2.54</v>
      </c>
      <c r="K338" s="135" t="s">
        <v>1015</v>
      </c>
      <c r="L338" s="116">
        <f t="shared" si="8"/>
        <v>2.54</v>
      </c>
      <c r="M338" s="116" t="s">
        <v>1093</v>
      </c>
      <c r="P338" s="133">
        <v>3</v>
      </c>
      <c r="Q338" s="133">
        <f ca="1">(INDIRECT("'Lookup Tables'!D"&amp;78+P338) &amp;"")*G338</f>
        <v>0</v>
      </c>
    </row>
    <row r="339" spans="2:17" ht="16.149999999999999" customHeight="1" x14ac:dyDescent="0.35">
      <c r="B339" s="332"/>
      <c r="C339" s="316"/>
      <c r="D339" s="316"/>
      <c r="E339" s="316"/>
      <c r="F339" s="321"/>
      <c r="G339" s="318"/>
      <c r="H339" s="224"/>
      <c r="I339" s="216" t="str">
        <f ca="1">'Translation Table'!H109</f>
        <v>CO2</v>
      </c>
      <c r="J339" s="116">
        <v>3.6</v>
      </c>
      <c r="K339" s="135" t="s">
        <v>1015</v>
      </c>
      <c r="L339" s="116">
        <f t="shared" si="8"/>
        <v>3.6</v>
      </c>
      <c r="M339" s="116" t="s">
        <v>1093</v>
      </c>
    </row>
    <row r="340" spans="2:17" ht="16.149999999999999" customHeight="1" x14ac:dyDescent="0.35">
      <c r="B340" s="332"/>
      <c r="C340" s="316"/>
      <c r="D340" s="316"/>
      <c r="E340" s="316"/>
      <c r="F340" s="321"/>
      <c r="G340" s="318"/>
      <c r="H340" s="224"/>
      <c r="I340" s="216" t="str">
        <f ca="1">'Translation Table'!H110</f>
        <v>N2O</v>
      </c>
      <c r="J340" s="116">
        <v>6.0999999999999999E-5</v>
      </c>
      <c r="K340" s="135" t="s">
        <v>1015</v>
      </c>
      <c r="L340" s="116">
        <f t="shared" si="8"/>
        <v>6.0999999999999999E-5</v>
      </c>
      <c r="M340" s="116" t="s">
        <v>1093</v>
      </c>
    </row>
    <row r="341" spans="2:17" ht="16.149999999999999" customHeight="1" x14ac:dyDescent="0.35">
      <c r="B341" s="332"/>
      <c r="C341" s="316"/>
      <c r="D341" s="316"/>
      <c r="E341" s="316"/>
      <c r="F341" s="321"/>
      <c r="G341" s="318"/>
      <c r="H341" s="224"/>
      <c r="I341" s="216" t="str">
        <f ca="1">'Translation Table'!H111</f>
        <v>NOx</v>
      </c>
      <c r="J341" s="116" t="s">
        <v>1015</v>
      </c>
      <c r="K341" s="135" t="s">
        <v>1015</v>
      </c>
      <c r="L341" s="116" t="str">
        <f t="shared" si="8"/>
        <v>NA</v>
      </c>
      <c r="M341" s="116" t="s">
        <v>1093</v>
      </c>
    </row>
    <row r="342" spans="2:17" ht="16.149999999999999" customHeight="1" x14ac:dyDescent="0.35">
      <c r="B342" s="332"/>
      <c r="C342" s="316"/>
      <c r="D342" s="316"/>
      <c r="E342" s="316"/>
      <c r="F342" s="321"/>
      <c r="G342" s="318"/>
      <c r="H342" s="224"/>
      <c r="I342" s="216" t="str">
        <f ca="1">'Translation Table'!H112</f>
        <v>CO</v>
      </c>
      <c r="J342" s="116" t="s">
        <v>1015</v>
      </c>
      <c r="K342" s="135" t="s">
        <v>1015</v>
      </c>
      <c r="L342" s="116" t="str">
        <f t="shared" si="8"/>
        <v>NA</v>
      </c>
      <c r="M342" s="116" t="s">
        <v>1093</v>
      </c>
    </row>
    <row r="343" spans="2:17" ht="16.149999999999999" customHeight="1" x14ac:dyDescent="0.35">
      <c r="B343" s="332"/>
      <c r="C343" s="316"/>
      <c r="D343" s="316"/>
      <c r="E343" s="316"/>
      <c r="F343" s="321"/>
      <c r="G343" s="318"/>
      <c r="H343" s="227"/>
      <c r="I343" s="216" t="str">
        <f ca="1">'Translation Table'!H113</f>
        <v>NMVOC</v>
      </c>
      <c r="J343" s="116">
        <v>0.61</v>
      </c>
      <c r="K343" s="135" t="s">
        <v>1015</v>
      </c>
      <c r="L343" s="116">
        <f t="shared" ref="L343:L406" si="9">IF(OR(K343="",K343="NA"),J343,K343)</f>
        <v>0.61</v>
      </c>
      <c r="M343" s="116" t="s">
        <v>1093</v>
      </c>
    </row>
    <row r="344" spans="2:17" ht="16.149999999999999" customHeight="1" x14ac:dyDescent="0.35">
      <c r="B344" s="332"/>
      <c r="C344" s="316"/>
      <c r="D344" s="316"/>
      <c r="E344" s="316"/>
      <c r="F344" s="321"/>
      <c r="G344" s="318"/>
      <c r="H344" s="222"/>
      <c r="I344" s="216" t="str">
        <f ca="1">'Translation Table'!H114</f>
        <v>SO2</v>
      </c>
      <c r="J344" s="116" t="s">
        <v>1015</v>
      </c>
      <c r="K344" s="135" t="s">
        <v>1015</v>
      </c>
      <c r="L344" s="116" t="str">
        <f t="shared" si="9"/>
        <v>NA</v>
      </c>
      <c r="M344" s="116" t="s">
        <v>1093</v>
      </c>
    </row>
    <row r="345" spans="2:17" ht="16.149999999999999" customHeight="1" x14ac:dyDescent="0.35">
      <c r="B345" s="332"/>
      <c r="C345" s="316"/>
      <c r="D345" s="316"/>
      <c r="E345" s="316"/>
      <c r="F345" s="321" t="str">
        <f ca="1">'Translation Table'!H232</f>
        <v>Active gas well</v>
      </c>
      <c r="G345" s="318"/>
      <c r="H345" s="217" t="str">
        <f ca="1">H346</f>
        <v>Well Count</v>
      </c>
      <c r="I345" s="216" t="str">
        <f ca="1">'Translation Table'!H108</f>
        <v>CH4</v>
      </c>
      <c r="J345" s="116">
        <v>4.37</v>
      </c>
      <c r="K345" s="135" t="s">
        <v>1015</v>
      </c>
      <c r="L345" s="116">
        <f t="shared" si="9"/>
        <v>4.37</v>
      </c>
      <c r="M345" s="116" t="s">
        <v>1110</v>
      </c>
      <c r="Q345" s="133">
        <f>G345</f>
        <v>0</v>
      </c>
    </row>
    <row r="346" spans="2:17" ht="16.149999999999999" customHeight="1" x14ac:dyDescent="0.35">
      <c r="B346" s="332"/>
      <c r="C346" s="316"/>
      <c r="D346" s="316"/>
      <c r="E346" s="316"/>
      <c r="F346" s="321"/>
      <c r="G346" s="318"/>
      <c r="H346" s="219" t="str">
        <f ca="1">'Translation Table'!H269</f>
        <v>Well Count</v>
      </c>
      <c r="I346" s="216" t="str">
        <f ca="1">'Translation Table'!H109</f>
        <v>CO2</v>
      </c>
      <c r="J346" s="116">
        <v>6.21</v>
      </c>
      <c r="K346" s="135" t="s">
        <v>1015</v>
      </c>
      <c r="L346" s="116">
        <f t="shared" si="9"/>
        <v>6.21</v>
      </c>
      <c r="M346" s="116" t="s">
        <v>1110</v>
      </c>
    </row>
    <row r="347" spans="2:17" ht="16.149999999999999" customHeight="1" x14ac:dyDescent="0.35">
      <c r="B347" s="332"/>
      <c r="C347" s="316"/>
      <c r="D347" s="316"/>
      <c r="E347" s="316"/>
      <c r="F347" s="321"/>
      <c r="G347" s="318"/>
      <c r="H347" s="219"/>
      <c r="I347" s="216" t="str">
        <f ca="1">'Translation Table'!H110</f>
        <v>N2O</v>
      </c>
      <c r="J347" s="116">
        <v>1.1E-4</v>
      </c>
      <c r="K347" s="135" t="s">
        <v>1015</v>
      </c>
      <c r="L347" s="116">
        <f t="shared" si="9"/>
        <v>1.1E-4</v>
      </c>
      <c r="M347" s="116" t="s">
        <v>1110</v>
      </c>
    </row>
    <row r="348" spans="2:17" ht="16.149999999999999" customHeight="1" x14ac:dyDescent="0.35">
      <c r="B348" s="332"/>
      <c r="C348" s="316"/>
      <c r="D348" s="316"/>
      <c r="E348" s="316"/>
      <c r="F348" s="321"/>
      <c r="G348" s="318"/>
      <c r="H348" s="219"/>
      <c r="I348" s="216" t="str">
        <f ca="1">'Translation Table'!H111</f>
        <v>NOx</v>
      </c>
      <c r="J348" s="116" t="s">
        <v>1015</v>
      </c>
      <c r="K348" s="135" t="s">
        <v>1015</v>
      </c>
      <c r="L348" s="116" t="str">
        <f t="shared" si="9"/>
        <v>NA</v>
      </c>
      <c r="M348" s="116" t="s">
        <v>1110</v>
      </c>
    </row>
    <row r="349" spans="2:17" ht="16.149999999999999" customHeight="1" x14ac:dyDescent="0.35">
      <c r="B349" s="332"/>
      <c r="C349" s="316"/>
      <c r="D349" s="316"/>
      <c r="E349" s="316"/>
      <c r="F349" s="321"/>
      <c r="G349" s="318"/>
      <c r="H349" s="219"/>
      <c r="I349" s="216" t="str">
        <f ca="1">'Translation Table'!H112</f>
        <v>CO</v>
      </c>
      <c r="J349" s="116" t="s">
        <v>1015</v>
      </c>
      <c r="K349" s="135" t="s">
        <v>1015</v>
      </c>
      <c r="L349" s="116" t="str">
        <f t="shared" si="9"/>
        <v>NA</v>
      </c>
      <c r="M349" s="116" t="s">
        <v>1110</v>
      </c>
    </row>
    <row r="350" spans="2:17" ht="16.149999999999999" customHeight="1" x14ac:dyDescent="0.35">
      <c r="B350" s="332"/>
      <c r="C350" s="316"/>
      <c r="D350" s="316"/>
      <c r="E350" s="316"/>
      <c r="F350" s="321"/>
      <c r="G350" s="318"/>
      <c r="H350" s="227"/>
      <c r="I350" s="216" t="str">
        <f ca="1">'Translation Table'!H113</f>
        <v>NMVOC</v>
      </c>
      <c r="J350" s="116">
        <v>1.05</v>
      </c>
      <c r="K350" s="135" t="s">
        <v>1015</v>
      </c>
      <c r="L350" s="116">
        <f t="shared" si="9"/>
        <v>1.05</v>
      </c>
      <c r="M350" s="116" t="s">
        <v>1110</v>
      </c>
    </row>
    <row r="351" spans="2:17" ht="16.149999999999999" customHeight="1" x14ac:dyDescent="0.35">
      <c r="B351" s="332"/>
      <c r="C351" s="316"/>
      <c r="D351" s="316"/>
      <c r="E351" s="316"/>
      <c r="F351" s="321"/>
      <c r="G351" s="318"/>
      <c r="H351" s="222"/>
      <c r="I351" s="216" t="str">
        <f ca="1">'Translation Table'!H114</f>
        <v>SO2</v>
      </c>
      <c r="J351" s="116" t="s">
        <v>1015</v>
      </c>
      <c r="K351" s="135" t="s">
        <v>1015</v>
      </c>
      <c r="L351" s="116" t="str">
        <f t="shared" si="9"/>
        <v>NA</v>
      </c>
      <c r="M351" s="116" t="s">
        <v>1110</v>
      </c>
    </row>
    <row r="352" spans="2:17" ht="16.149999999999999" customHeight="1" x14ac:dyDescent="0.35">
      <c r="B352" s="332"/>
      <c r="C352" s="316" t="str">
        <f ca="1">'Translation Table'!H160</f>
        <v>Onshore All</v>
      </c>
      <c r="D352" s="316"/>
      <c r="E352" s="316"/>
      <c r="F352" s="321" t="str">
        <f ca="1">'Translation Table'!H233</f>
        <v>Onshore gas production</v>
      </c>
      <c r="G352" s="318"/>
      <c r="H352" s="223" t="str">
        <f ca="1">INDIRECT("'Lookup Tables'!B"&amp;78+P352) &amp;""</f>
        <v>E+06 m^3/y</v>
      </c>
      <c r="I352" s="216" t="str">
        <f ca="1">'Translation Table'!H108</f>
        <v>CH4</v>
      </c>
      <c r="J352" s="116" t="s">
        <v>1015</v>
      </c>
      <c r="K352" s="135"/>
      <c r="L352" s="116" t="str">
        <f t="shared" si="9"/>
        <v>NA</v>
      </c>
      <c r="M352" s="116" t="s">
        <v>1093</v>
      </c>
      <c r="P352" s="133">
        <v>3</v>
      </c>
      <c r="Q352" s="133">
        <f ca="1">(INDIRECT("'Lookup Tables'!D"&amp;78+P352) &amp;"")*G352</f>
        <v>0</v>
      </c>
    </row>
    <row r="353" spans="2:17" ht="16.149999999999999" customHeight="1" x14ac:dyDescent="0.35">
      <c r="B353" s="332"/>
      <c r="C353" s="316"/>
      <c r="D353" s="316"/>
      <c r="E353" s="316"/>
      <c r="F353" s="321"/>
      <c r="G353" s="318"/>
      <c r="H353" s="224"/>
      <c r="I353" s="216" t="str">
        <f ca="1">'Translation Table'!H109</f>
        <v>CO2</v>
      </c>
      <c r="J353" s="116" t="s">
        <v>1015</v>
      </c>
      <c r="K353" s="135"/>
      <c r="L353" s="116" t="str">
        <f t="shared" si="9"/>
        <v>NA</v>
      </c>
      <c r="M353" s="116" t="s">
        <v>1093</v>
      </c>
    </row>
    <row r="354" spans="2:17" ht="16.149999999999999" customHeight="1" x14ac:dyDescent="0.35">
      <c r="B354" s="332"/>
      <c r="C354" s="316"/>
      <c r="D354" s="316"/>
      <c r="E354" s="316"/>
      <c r="F354" s="321"/>
      <c r="G354" s="318"/>
      <c r="H354" s="224"/>
      <c r="I354" s="216" t="str">
        <f ca="1">'Translation Table'!H110</f>
        <v>N2O</v>
      </c>
      <c r="J354" s="116" t="s">
        <v>1015</v>
      </c>
      <c r="K354" s="135"/>
      <c r="L354" s="116" t="str">
        <f t="shared" si="9"/>
        <v>NA</v>
      </c>
      <c r="M354" s="116" t="s">
        <v>1093</v>
      </c>
    </row>
    <row r="355" spans="2:17" ht="16.149999999999999" customHeight="1" x14ac:dyDescent="0.35">
      <c r="B355" s="332"/>
      <c r="C355" s="316"/>
      <c r="D355" s="316"/>
      <c r="E355" s="316"/>
      <c r="F355" s="321"/>
      <c r="G355" s="318"/>
      <c r="H355" s="224"/>
      <c r="I355" s="216" t="str">
        <f ca="1">'Translation Table'!H111</f>
        <v>NOx</v>
      </c>
      <c r="J355" s="116" t="s">
        <v>1015</v>
      </c>
      <c r="K355" s="135"/>
      <c r="L355" s="116" t="str">
        <f t="shared" si="9"/>
        <v>NA</v>
      </c>
      <c r="M355" s="116" t="s">
        <v>1093</v>
      </c>
    </row>
    <row r="356" spans="2:17" ht="16.149999999999999" customHeight="1" x14ac:dyDescent="0.35">
      <c r="B356" s="332"/>
      <c r="C356" s="316"/>
      <c r="D356" s="316"/>
      <c r="E356" s="316"/>
      <c r="F356" s="321"/>
      <c r="G356" s="318"/>
      <c r="H356" s="224"/>
      <c r="I356" s="216" t="str">
        <f ca="1">'Translation Table'!H112</f>
        <v>CO</v>
      </c>
      <c r="J356" s="116" t="s">
        <v>1015</v>
      </c>
      <c r="K356" s="135"/>
      <c r="L356" s="116" t="str">
        <f t="shared" si="9"/>
        <v>NA</v>
      </c>
      <c r="M356" s="116" t="s">
        <v>1093</v>
      </c>
    </row>
    <row r="357" spans="2:17" ht="16.149999999999999" customHeight="1" x14ac:dyDescent="0.35">
      <c r="B357" s="332"/>
      <c r="C357" s="316"/>
      <c r="D357" s="316"/>
      <c r="E357" s="316"/>
      <c r="F357" s="321"/>
      <c r="G357" s="318"/>
      <c r="H357" s="227"/>
      <c r="I357" s="216" t="str">
        <f ca="1">'Translation Table'!H113</f>
        <v>NMVOC</v>
      </c>
      <c r="J357" s="116" t="s">
        <v>1015</v>
      </c>
      <c r="K357" s="135"/>
      <c r="L357" s="116" t="str">
        <f t="shared" si="9"/>
        <v>NA</v>
      </c>
      <c r="M357" s="116" t="s">
        <v>1093</v>
      </c>
    </row>
    <row r="358" spans="2:17" ht="16.149999999999999" customHeight="1" x14ac:dyDescent="0.35">
      <c r="B358" s="332"/>
      <c r="C358" s="316"/>
      <c r="D358" s="316"/>
      <c r="E358" s="316"/>
      <c r="F358" s="321"/>
      <c r="G358" s="318"/>
      <c r="H358" s="222"/>
      <c r="I358" s="216" t="str">
        <f ca="1">'Translation Table'!H114</f>
        <v>SO2</v>
      </c>
      <c r="J358" s="116" t="s">
        <v>1015</v>
      </c>
      <c r="K358" s="135"/>
      <c r="L358" s="116" t="str">
        <f t="shared" si="9"/>
        <v>NA</v>
      </c>
      <c r="M358" s="116" t="s">
        <v>1093</v>
      </c>
    </row>
    <row r="359" spans="2:17" ht="16.149999999999999" customHeight="1" x14ac:dyDescent="0.35">
      <c r="B359" s="332"/>
      <c r="C359" s="316"/>
      <c r="D359" s="316"/>
      <c r="E359" s="316"/>
      <c r="F359" s="321" t="str">
        <f ca="1">'Translation Table'!H234</f>
        <v>Active gas well</v>
      </c>
      <c r="G359" s="318"/>
      <c r="H359" s="217" t="str">
        <f ca="1">H360</f>
        <v>Well Count</v>
      </c>
      <c r="I359" s="216" t="str">
        <f ca="1">'Translation Table'!H108</f>
        <v>CH4</v>
      </c>
      <c r="J359" s="116" t="s">
        <v>1015</v>
      </c>
      <c r="K359" s="135"/>
      <c r="L359" s="116" t="str">
        <f t="shared" si="9"/>
        <v>NA</v>
      </c>
      <c r="M359" s="116" t="s">
        <v>1110</v>
      </c>
      <c r="Q359" s="133">
        <f>G359</f>
        <v>0</v>
      </c>
    </row>
    <row r="360" spans="2:17" ht="16.149999999999999" customHeight="1" x14ac:dyDescent="0.35">
      <c r="B360" s="332"/>
      <c r="C360" s="316"/>
      <c r="D360" s="316"/>
      <c r="E360" s="316"/>
      <c r="F360" s="321"/>
      <c r="G360" s="318"/>
      <c r="H360" s="219" t="str">
        <f ca="1">'Translation Table'!H269</f>
        <v>Well Count</v>
      </c>
      <c r="I360" s="216" t="str">
        <f ca="1">'Translation Table'!H109</f>
        <v>CO2</v>
      </c>
      <c r="J360" s="116" t="s">
        <v>1015</v>
      </c>
      <c r="K360" s="135"/>
      <c r="L360" s="116" t="str">
        <f t="shared" si="9"/>
        <v>NA</v>
      </c>
      <c r="M360" s="116" t="s">
        <v>1110</v>
      </c>
    </row>
    <row r="361" spans="2:17" ht="16.149999999999999" customHeight="1" x14ac:dyDescent="0.35">
      <c r="B361" s="332"/>
      <c r="C361" s="316"/>
      <c r="D361" s="316"/>
      <c r="E361" s="316"/>
      <c r="F361" s="321"/>
      <c r="G361" s="318"/>
      <c r="H361" s="219"/>
      <c r="I361" s="216" t="str">
        <f ca="1">'Translation Table'!H110</f>
        <v>N2O</v>
      </c>
      <c r="J361" s="116" t="s">
        <v>1015</v>
      </c>
      <c r="K361" s="135"/>
      <c r="L361" s="116" t="str">
        <f t="shared" si="9"/>
        <v>NA</v>
      </c>
      <c r="M361" s="116" t="s">
        <v>1110</v>
      </c>
    </row>
    <row r="362" spans="2:17" ht="16.149999999999999" customHeight="1" x14ac:dyDescent="0.35">
      <c r="B362" s="332"/>
      <c r="C362" s="316"/>
      <c r="D362" s="316"/>
      <c r="E362" s="316"/>
      <c r="F362" s="321"/>
      <c r="G362" s="318"/>
      <c r="H362" s="219"/>
      <c r="I362" s="216" t="str">
        <f ca="1">'Translation Table'!H111</f>
        <v>NOx</v>
      </c>
      <c r="J362" s="116" t="s">
        <v>1015</v>
      </c>
      <c r="K362" s="135"/>
      <c r="L362" s="116" t="str">
        <f t="shared" si="9"/>
        <v>NA</v>
      </c>
      <c r="M362" s="116" t="s">
        <v>1110</v>
      </c>
    </row>
    <row r="363" spans="2:17" ht="16.149999999999999" customHeight="1" x14ac:dyDescent="0.35">
      <c r="B363" s="332"/>
      <c r="C363" s="316"/>
      <c r="D363" s="316"/>
      <c r="E363" s="316"/>
      <c r="F363" s="321"/>
      <c r="G363" s="318"/>
      <c r="H363" s="219"/>
      <c r="I363" s="216" t="str">
        <f ca="1">'Translation Table'!H112</f>
        <v>CO</v>
      </c>
      <c r="J363" s="116" t="s">
        <v>1015</v>
      </c>
      <c r="K363" s="135"/>
      <c r="L363" s="116" t="str">
        <f t="shared" si="9"/>
        <v>NA</v>
      </c>
      <c r="M363" s="116" t="s">
        <v>1110</v>
      </c>
    </row>
    <row r="364" spans="2:17" ht="16.149999999999999" customHeight="1" x14ac:dyDescent="0.35">
      <c r="B364" s="332"/>
      <c r="C364" s="316"/>
      <c r="D364" s="316"/>
      <c r="E364" s="316"/>
      <c r="F364" s="321"/>
      <c r="G364" s="318"/>
      <c r="H364" s="227"/>
      <c r="I364" s="216" t="str">
        <f ca="1">'Translation Table'!H113</f>
        <v>NMVOC</v>
      </c>
      <c r="J364" s="116" t="s">
        <v>1015</v>
      </c>
      <c r="K364" s="135"/>
      <c r="L364" s="116" t="str">
        <f t="shared" si="9"/>
        <v>NA</v>
      </c>
      <c r="M364" s="116" t="s">
        <v>1110</v>
      </c>
    </row>
    <row r="365" spans="2:17" ht="16.149999999999999" customHeight="1" x14ac:dyDescent="0.35">
      <c r="B365" s="332"/>
      <c r="C365" s="316"/>
      <c r="D365" s="316"/>
      <c r="E365" s="316"/>
      <c r="F365" s="321"/>
      <c r="G365" s="318"/>
      <c r="H365" s="222"/>
      <c r="I365" s="216" t="str">
        <f ca="1">'Translation Table'!H114</f>
        <v>SO2</v>
      </c>
      <c r="J365" s="116" t="s">
        <v>1015</v>
      </c>
      <c r="K365" s="135"/>
      <c r="L365" s="116" t="str">
        <f t="shared" si="9"/>
        <v>NA</v>
      </c>
      <c r="M365" s="116" t="s">
        <v>1110</v>
      </c>
    </row>
    <row r="366" spans="2:17" ht="16.149999999999999" customHeight="1" x14ac:dyDescent="0.35">
      <c r="B366" s="332"/>
      <c r="C366" s="316" t="str">
        <f ca="1">'Translation Table'!H161</f>
        <v>Onshore Coal Bed Methane</v>
      </c>
      <c r="D366" s="316"/>
      <c r="E366" s="316"/>
      <c r="F366" s="317" t="str">
        <f ca="1">'Translation Table'!H235</f>
        <v>Onshore gas production</v>
      </c>
      <c r="G366" s="318"/>
      <c r="H366" s="223" t="str">
        <f ca="1">INDIRECT("'Lookup Tables'!B"&amp;78+P366) &amp;""</f>
        <v>E+06 m^3/y</v>
      </c>
      <c r="I366" s="216" t="str">
        <f ca="1">'Translation Table'!H108</f>
        <v>CH4</v>
      </c>
      <c r="J366" s="116">
        <v>1.95</v>
      </c>
      <c r="K366" s="135"/>
      <c r="L366" s="116">
        <f t="shared" si="9"/>
        <v>1.95</v>
      </c>
      <c r="M366" s="116" t="s">
        <v>1093</v>
      </c>
      <c r="P366" s="133">
        <v>3</v>
      </c>
      <c r="Q366" s="133">
        <f ca="1">(INDIRECT("'Lookup Tables'!D"&amp;78+P366) &amp;"")*G366</f>
        <v>0</v>
      </c>
    </row>
    <row r="367" spans="2:17" ht="16.149999999999999" customHeight="1" x14ac:dyDescent="0.35">
      <c r="B367" s="332"/>
      <c r="C367" s="316"/>
      <c r="D367" s="316"/>
      <c r="E367" s="316"/>
      <c r="F367" s="317"/>
      <c r="G367" s="318"/>
      <c r="H367" s="224"/>
      <c r="I367" s="216" t="str">
        <f ca="1">'Translation Table'!H109</f>
        <v>CO2</v>
      </c>
      <c r="J367" s="116">
        <v>19.57</v>
      </c>
      <c r="K367" s="135"/>
      <c r="L367" s="116">
        <f t="shared" si="9"/>
        <v>19.57</v>
      </c>
      <c r="M367" s="116" t="s">
        <v>1093</v>
      </c>
    </row>
    <row r="368" spans="2:17" ht="16.149999999999999" customHeight="1" x14ac:dyDescent="0.35">
      <c r="B368" s="332"/>
      <c r="C368" s="316"/>
      <c r="D368" s="316"/>
      <c r="E368" s="316"/>
      <c r="F368" s="317"/>
      <c r="G368" s="318"/>
      <c r="H368" s="224"/>
      <c r="I368" s="216" t="str">
        <f ca="1">'Translation Table'!H110</f>
        <v>N2O</v>
      </c>
      <c r="J368" s="116">
        <v>7.2000000000000005E-4</v>
      </c>
      <c r="K368" s="135"/>
      <c r="L368" s="116">
        <f t="shared" si="9"/>
        <v>7.2000000000000005E-4</v>
      </c>
      <c r="M368" s="116" t="s">
        <v>1093</v>
      </c>
    </row>
    <row r="369" spans="2:17" ht="16.149999999999999" customHeight="1" x14ac:dyDescent="0.35">
      <c r="B369" s="332"/>
      <c r="C369" s="316"/>
      <c r="D369" s="316"/>
      <c r="E369" s="316"/>
      <c r="F369" s="317"/>
      <c r="G369" s="318"/>
      <c r="H369" s="224"/>
      <c r="I369" s="216" t="str">
        <f ca="1">'Translation Table'!H111</f>
        <v>NOx</v>
      </c>
      <c r="J369" s="116" t="s">
        <v>1015</v>
      </c>
      <c r="K369" s="135"/>
      <c r="L369" s="116" t="str">
        <f t="shared" si="9"/>
        <v>NA</v>
      </c>
      <c r="M369" s="116" t="s">
        <v>1093</v>
      </c>
    </row>
    <row r="370" spans="2:17" ht="16.149999999999999" customHeight="1" x14ac:dyDescent="0.35">
      <c r="B370" s="332"/>
      <c r="C370" s="316"/>
      <c r="D370" s="316"/>
      <c r="E370" s="316"/>
      <c r="F370" s="317"/>
      <c r="G370" s="318"/>
      <c r="H370" s="224"/>
      <c r="I370" s="216" t="str">
        <f ca="1">'Translation Table'!H112</f>
        <v>CO</v>
      </c>
      <c r="J370" s="116" t="s">
        <v>1015</v>
      </c>
      <c r="K370" s="135"/>
      <c r="L370" s="116" t="str">
        <f t="shared" si="9"/>
        <v>NA</v>
      </c>
      <c r="M370" s="116" t="s">
        <v>1093</v>
      </c>
    </row>
    <row r="371" spans="2:17" ht="16.149999999999999" customHeight="1" x14ac:dyDescent="0.35">
      <c r="B371" s="332"/>
      <c r="C371" s="316"/>
      <c r="D371" s="316"/>
      <c r="E371" s="316"/>
      <c r="F371" s="317"/>
      <c r="G371" s="318"/>
      <c r="H371" s="227"/>
      <c r="I371" s="216" t="str">
        <f ca="1">'Translation Table'!H113</f>
        <v>NMVOC</v>
      </c>
      <c r="J371" s="116">
        <v>0.23</v>
      </c>
      <c r="K371" s="135"/>
      <c r="L371" s="116">
        <f t="shared" si="9"/>
        <v>0.23</v>
      </c>
      <c r="M371" s="116" t="s">
        <v>1093</v>
      </c>
    </row>
    <row r="372" spans="2:17" ht="16.149999999999999" customHeight="1" x14ac:dyDescent="0.35">
      <c r="B372" s="332"/>
      <c r="C372" s="316"/>
      <c r="D372" s="316"/>
      <c r="E372" s="316"/>
      <c r="F372" s="317"/>
      <c r="G372" s="318"/>
      <c r="H372" s="222"/>
      <c r="I372" s="216" t="str">
        <f ca="1">'Translation Table'!H114</f>
        <v>SO2</v>
      </c>
      <c r="J372" s="116" t="s">
        <v>1015</v>
      </c>
      <c r="K372" s="135"/>
      <c r="L372" s="116" t="str">
        <f t="shared" si="9"/>
        <v>NA</v>
      </c>
      <c r="M372" s="116" t="s">
        <v>1093</v>
      </c>
    </row>
    <row r="373" spans="2:17" ht="16.149999999999999" customHeight="1" x14ac:dyDescent="0.35">
      <c r="B373" s="332"/>
      <c r="C373" s="316" t="str">
        <f ca="1">'Translation Table'!H162</f>
        <v>Gathering</v>
      </c>
      <c r="D373" s="316"/>
      <c r="E373" s="316"/>
      <c r="F373" s="317" t="str">
        <f ca="1">'Translation Table'!H236</f>
        <v>Onshore gas production</v>
      </c>
      <c r="G373" s="318"/>
      <c r="H373" s="223" t="str">
        <f ca="1">INDIRECT("'Lookup Tables'!B"&amp;78+P373) &amp;""</f>
        <v>E+06 m^3/y</v>
      </c>
      <c r="I373" s="216" t="str">
        <f ca="1">'Translation Table'!H108</f>
        <v>CH4</v>
      </c>
      <c r="J373" s="116">
        <v>3.2</v>
      </c>
      <c r="K373" s="135"/>
      <c r="L373" s="116">
        <f t="shared" si="9"/>
        <v>3.2</v>
      </c>
      <c r="M373" s="116" t="s">
        <v>1093</v>
      </c>
      <c r="P373" s="133">
        <v>3</v>
      </c>
      <c r="Q373" s="133">
        <f ca="1">(INDIRECT("'Lookup Tables'!D"&amp;78+P373) &amp;"")*G373</f>
        <v>0</v>
      </c>
    </row>
    <row r="374" spans="2:17" ht="16.149999999999999" customHeight="1" x14ac:dyDescent="0.35">
      <c r="B374" s="332"/>
      <c r="C374" s="316"/>
      <c r="D374" s="316"/>
      <c r="E374" s="316"/>
      <c r="F374" s="317"/>
      <c r="G374" s="318"/>
      <c r="H374" s="224"/>
      <c r="I374" s="216" t="str">
        <f ca="1">'Translation Table'!H109</f>
        <v>CO2</v>
      </c>
      <c r="J374" s="116">
        <v>0.35</v>
      </c>
      <c r="K374" s="135"/>
      <c r="L374" s="116">
        <f t="shared" si="9"/>
        <v>0.35</v>
      </c>
      <c r="M374" s="116" t="s">
        <v>1093</v>
      </c>
    </row>
    <row r="375" spans="2:17" ht="16.149999999999999" customHeight="1" x14ac:dyDescent="0.35">
      <c r="B375" s="332"/>
      <c r="C375" s="316"/>
      <c r="D375" s="316"/>
      <c r="E375" s="316"/>
      <c r="F375" s="317"/>
      <c r="G375" s="318"/>
      <c r="H375" s="224"/>
      <c r="I375" s="216" t="str">
        <f ca="1">'Translation Table'!H110</f>
        <v>N2O</v>
      </c>
      <c r="J375" s="116">
        <v>6.0000000000000002E-6</v>
      </c>
      <c r="K375" s="135"/>
      <c r="L375" s="116">
        <f t="shared" si="9"/>
        <v>6.0000000000000002E-6</v>
      </c>
      <c r="M375" s="116" t="s">
        <v>1093</v>
      </c>
    </row>
    <row r="376" spans="2:17" ht="16.149999999999999" customHeight="1" x14ac:dyDescent="0.35">
      <c r="B376" s="332"/>
      <c r="C376" s="316"/>
      <c r="D376" s="316"/>
      <c r="E376" s="316"/>
      <c r="F376" s="317"/>
      <c r="G376" s="318"/>
      <c r="H376" s="224"/>
      <c r="I376" s="216" t="str">
        <f ca="1">'Translation Table'!H111</f>
        <v>NOx</v>
      </c>
      <c r="J376" s="116" t="s">
        <v>1015</v>
      </c>
      <c r="K376" s="135"/>
      <c r="L376" s="116" t="str">
        <f t="shared" si="9"/>
        <v>NA</v>
      </c>
      <c r="M376" s="116" t="s">
        <v>1093</v>
      </c>
    </row>
    <row r="377" spans="2:17" ht="16.149999999999999" customHeight="1" x14ac:dyDescent="0.35">
      <c r="B377" s="332"/>
      <c r="C377" s="316"/>
      <c r="D377" s="316"/>
      <c r="E377" s="316"/>
      <c r="F377" s="317"/>
      <c r="G377" s="318"/>
      <c r="H377" s="224"/>
      <c r="I377" s="216" t="str">
        <f ca="1">'Translation Table'!H112</f>
        <v>CO</v>
      </c>
      <c r="J377" s="116" t="s">
        <v>1015</v>
      </c>
      <c r="K377" s="135"/>
      <c r="L377" s="116" t="str">
        <f t="shared" si="9"/>
        <v>NA</v>
      </c>
      <c r="M377" s="116" t="s">
        <v>1093</v>
      </c>
    </row>
    <row r="378" spans="2:17" ht="16.149999999999999" customHeight="1" x14ac:dyDescent="0.35">
      <c r="B378" s="332"/>
      <c r="C378" s="316"/>
      <c r="D378" s="316"/>
      <c r="E378" s="316"/>
      <c r="F378" s="317"/>
      <c r="G378" s="318"/>
      <c r="H378" s="227"/>
      <c r="I378" s="216" t="str">
        <f ca="1">'Translation Table'!H113</f>
        <v>NMVOC</v>
      </c>
      <c r="J378" s="116">
        <v>0.77</v>
      </c>
      <c r="K378" s="135"/>
      <c r="L378" s="116">
        <f t="shared" si="9"/>
        <v>0.77</v>
      </c>
      <c r="M378" s="116" t="s">
        <v>1093</v>
      </c>
    </row>
    <row r="379" spans="2:17" ht="16.149999999999999" customHeight="1" x14ac:dyDescent="0.35">
      <c r="B379" s="332"/>
      <c r="C379" s="316"/>
      <c r="D379" s="316"/>
      <c r="E379" s="316"/>
      <c r="F379" s="317"/>
      <c r="G379" s="318"/>
      <c r="H379" s="222"/>
      <c r="I379" s="216" t="str">
        <f ca="1">'Translation Table'!H114</f>
        <v>SO2</v>
      </c>
      <c r="J379" s="116" t="s">
        <v>1015</v>
      </c>
      <c r="K379" s="135"/>
      <c r="L379" s="116" t="str">
        <f t="shared" si="9"/>
        <v>NA</v>
      </c>
      <c r="M379" s="116" t="s">
        <v>1093</v>
      </c>
    </row>
    <row r="380" spans="2:17" ht="16.149999999999999" customHeight="1" x14ac:dyDescent="0.35">
      <c r="B380" s="332"/>
      <c r="C380" s="316" t="str">
        <f ca="1">'Translation Table'!H163</f>
        <v>Offshore</v>
      </c>
      <c r="D380" s="316"/>
      <c r="E380" s="316"/>
      <c r="F380" s="317" t="str">
        <f ca="1">'Translation Table'!H237</f>
        <v>Offshore gas production</v>
      </c>
      <c r="G380" s="318"/>
      <c r="H380" s="223" t="str">
        <f ca="1">INDIRECT("'Lookup Tables'!B"&amp;78+P380) &amp;""</f>
        <v>E+06 m^3/y</v>
      </c>
      <c r="I380" s="216" t="str">
        <f ca="1">'Translation Table'!H108</f>
        <v>CH4</v>
      </c>
      <c r="J380" s="116">
        <v>2.94</v>
      </c>
      <c r="K380" s="135"/>
      <c r="L380" s="116">
        <f t="shared" si="9"/>
        <v>2.94</v>
      </c>
      <c r="M380" s="116" t="s">
        <v>1093</v>
      </c>
      <c r="P380" s="133">
        <v>3</v>
      </c>
      <c r="Q380" s="133">
        <f ca="1">(INDIRECT("'Lookup Tables'!D"&amp;78+P380) &amp;"")*G380</f>
        <v>0</v>
      </c>
    </row>
    <row r="381" spans="2:17" ht="16.149999999999999" customHeight="1" x14ac:dyDescent="0.35">
      <c r="B381" s="332"/>
      <c r="C381" s="316"/>
      <c r="D381" s="316"/>
      <c r="E381" s="316"/>
      <c r="F381" s="317"/>
      <c r="G381" s="318"/>
      <c r="H381" s="224"/>
      <c r="I381" s="216" t="str">
        <f ca="1">'Translation Table'!H109</f>
        <v>CO2</v>
      </c>
      <c r="J381" s="116">
        <v>4.8</v>
      </c>
      <c r="K381" s="135"/>
      <c r="L381" s="116">
        <f t="shared" si="9"/>
        <v>4.8</v>
      </c>
      <c r="M381" s="116" t="s">
        <v>1093</v>
      </c>
    </row>
    <row r="382" spans="2:17" ht="16.149999999999999" customHeight="1" x14ac:dyDescent="0.35">
      <c r="B382" s="332"/>
      <c r="C382" s="316"/>
      <c r="D382" s="316"/>
      <c r="E382" s="316"/>
      <c r="F382" s="317"/>
      <c r="G382" s="318"/>
      <c r="H382" s="224"/>
      <c r="I382" s="216" t="str">
        <f ca="1">'Translation Table'!H110</f>
        <v>N2O</v>
      </c>
      <c r="J382" s="116">
        <v>8.2000000000000001E-5</v>
      </c>
      <c r="K382" s="135"/>
      <c r="L382" s="116">
        <f t="shared" si="9"/>
        <v>8.2000000000000001E-5</v>
      </c>
      <c r="M382" s="116" t="s">
        <v>1093</v>
      </c>
    </row>
    <row r="383" spans="2:17" ht="16.149999999999999" customHeight="1" x14ac:dyDescent="0.35">
      <c r="B383" s="332"/>
      <c r="C383" s="316"/>
      <c r="D383" s="316"/>
      <c r="E383" s="316"/>
      <c r="F383" s="317"/>
      <c r="G383" s="318"/>
      <c r="H383" s="224"/>
      <c r="I383" s="216" t="str">
        <f ca="1">'Translation Table'!H111</f>
        <v>NOx</v>
      </c>
      <c r="J383" s="116" t="s">
        <v>1015</v>
      </c>
      <c r="K383" s="135"/>
      <c r="L383" s="116" t="str">
        <f t="shared" si="9"/>
        <v>NA</v>
      </c>
      <c r="M383" s="116" t="s">
        <v>1093</v>
      </c>
    </row>
    <row r="384" spans="2:17" ht="16.149999999999999" customHeight="1" x14ac:dyDescent="0.35">
      <c r="B384" s="332"/>
      <c r="C384" s="316"/>
      <c r="D384" s="316"/>
      <c r="E384" s="316"/>
      <c r="F384" s="317"/>
      <c r="G384" s="318"/>
      <c r="H384" s="224"/>
      <c r="I384" s="216" t="str">
        <f ca="1">'Translation Table'!H112</f>
        <v>CO</v>
      </c>
      <c r="J384" s="116" t="s">
        <v>1015</v>
      </c>
      <c r="K384" s="135"/>
      <c r="L384" s="116" t="str">
        <f t="shared" si="9"/>
        <v>NA</v>
      </c>
      <c r="M384" s="116" t="s">
        <v>1093</v>
      </c>
    </row>
    <row r="385" spans="2:17" ht="16.149999999999999" customHeight="1" x14ac:dyDescent="0.35">
      <c r="B385" s="332"/>
      <c r="C385" s="316"/>
      <c r="D385" s="316"/>
      <c r="E385" s="316"/>
      <c r="F385" s="317"/>
      <c r="G385" s="318"/>
      <c r="H385" s="227"/>
      <c r="I385" s="216" t="str">
        <f ca="1">'Translation Table'!H113</f>
        <v>NMVOC</v>
      </c>
      <c r="J385" s="116">
        <v>0.7</v>
      </c>
      <c r="K385" s="135"/>
      <c r="L385" s="116">
        <f t="shared" si="9"/>
        <v>0.7</v>
      </c>
      <c r="M385" s="116" t="s">
        <v>1093</v>
      </c>
    </row>
    <row r="386" spans="2:17" ht="16.149999999999999" customHeight="1" x14ac:dyDescent="0.35">
      <c r="B386" s="332"/>
      <c r="C386" s="316"/>
      <c r="D386" s="316"/>
      <c r="E386" s="316"/>
      <c r="F386" s="317"/>
      <c r="G386" s="318"/>
      <c r="H386" s="222"/>
      <c r="I386" s="216" t="str">
        <f ca="1">'Translation Table'!H114</f>
        <v>SO2</v>
      </c>
      <c r="J386" s="116" t="s">
        <v>1015</v>
      </c>
      <c r="K386" s="135"/>
      <c r="L386" s="116" t="str">
        <f t="shared" si="9"/>
        <v>NA</v>
      </c>
      <c r="M386" s="116" t="s">
        <v>1093</v>
      </c>
    </row>
    <row r="387" spans="2:17" ht="16.149999999999999" customHeight="1" x14ac:dyDescent="0.35">
      <c r="B387" s="332" t="str">
        <f ca="1">'Translation Table'!H124</f>
        <v>Gas Processing</v>
      </c>
      <c r="C387" s="316" t="str">
        <f ca="1">'Translation Table'!H164</f>
        <v>Without LDAR, or with limited LDAR, or less than 50% of centrifugal compressors have dry seals</v>
      </c>
      <c r="D387" s="316"/>
      <c r="E387" s="316"/>
      <c r="F387" s="317" t="str">
        <f ca="1">'Translation Table'!H238</f>
        <v>Gas processed</v>
      </c>
      <c r="G387" s="318"/>
      <c r="H387" s="223" t="str">
        <f ca="1">INDIRECT("'Lookup Tables'!B"&amp;78+P387) &amp;""</f>
        <v>E+06 m^3/y</v>
      </c>
      <c r="I387" s="216" t="str">
        <f ca="1">'Translation Table'!H108</f>
        <v>CH4</v>
      </c>
      <c r="J387" s="116">
        <v>1.83</v>
      </c>
      <c r="K387" s="135" t="s">
        <v>1015</v>
      </c>
      <c r="L387" s="116">
        <f t="shared" si="9"/>
        <v>1.83</v>
      </c>
      <c r="M387" s="116" t="s">
        <v>1093</v>
      </c>
      <c r="P387" s="133">
        <v>3</v>
      </c>
      <c r="Q387" s="133">
        <f ca="1">(INDIRECT("'Lookup Tables'!D"&amp;78+P387) &amp;"")*G387</f>
        <v>0</v>
      </c>
    </row>
    <row r="388" spans="2:17" ht="16.149999999999999" customHeight="1" x14ac:dyDescent="0.35">
      <c r="B388" s="332"/>
      <c r="C388" s="316"/>
      <c r="D388" s="316"/>
      <c r="E388" s="316"/>
      <c r="F388" s="317"/>
      <c r="G388" s="318"/>
      <c r="H388" s="227"/>
      <c r="I388" s="216" t="str">
        <f ca="1">'Translation Table'!H109</f>
        <v>CO2</v>
      </c>
      <c r="J388" s="116">
        <v>0.12</v>
      </c>
      <c r="K388" s="135" t="s">
        <v>1015</v>
      </c>
      <c r="L388" s="116">
        <f t="shared" si="9"/>
        <v>0.12</v>
      </c>
      <c r="M388" s="116" t="s">
        <v>1093</v>
      </c>
    </row>
    <row r="389" spans="2:17" ht="16.149999999999999" customHeight="1" x14ac:dyDescent="0.35">
      <c r="B389" s="332"/>
      <c r="C389" s="316"/>
      <c r="D389" s="316"/>
      <c r="E389" s="316"/>
      <c r="F389" s="317"/>
      <c r="G389" s="318"/>
      <c r="H389" s="227"/>
      <c r="I389" s="216" t="str">
        <f ca="1">'Translation Table'!H110</f>
        <v>N2O</v>
      </c>
      <c r="J389" s="116">
        <v>1.3E-6</v>
      </c>
      <c r="K389" s="135" t="s">
        <v>1015</v>
      </c>
      <c r="L389" s="116">
        <f t="shared" si="9"/>
        <v>1.3E-6</v>
      </c>
      <c r="M389" s="116" t="s">
        <v>1093</v>
      </c>
    </row>
    <row r="390" spans="2:17" ht="16.149999999999999" customHeight="1" x14ac:dyDescent="0.35">
      <c r="B390" s="332"/>
      <c r="C390" s="316"/>
      <c r="D390" s="316"/>
      <c r="E390" s="316"/>
      <c r="F390" s="317"/>
      <c r="G390" s="318"/>
      <c r="H390" s="227"/>
      <c r="I390" s="216" t="str">
        <f ca="1">'Translation Table'!H111</f>
        <v>NOx</v>
      </c>
      <c r="J390" s="116" t="s">
        <v>1015</v>
      </c>
      <c r="K390" s="135" t="s">
        <v>1015</v>
      </c>
      <c r="L390" s="116" t="str">
        <f t="shared" si="9"/>
        <v>NA</v>
      </c>
      <c r="M390" s="116" t="s">
        <v>1093</v>
      </c>
    </row>
    <row r="391" spans="2:17" ht="16.149999999999999" customHeight="1" x14ac:dyDescent="0.35">
      <c r="B391" s="332"/>
      <c r="C391" s="316"/>
      <c r="D391" s="316"/>
      <c r="E391" s="316"/>
      <c r="F391" s="317"/>
      <c r="G391" s="318"/>
      <c r="H391" s="227"/>
      <c r="I391" s="216" t="str">
        <f ca="1">'Translation Table'!H112</f>
        <v>CO</v>
      </c>
      <c r="J391" s="116" t="s">
        <v>1015</v>
      </c>
      <c r="K391" s="135" t="s">
        <v>1015</v>
      </c>
      <c r="L391" s="116" t="str">
        <f t="shared" si="9"/>
        <v>NA</v>
      </c>
      <c r="M391" s="116" t="s">
        <v>1093</v>
      </c>
    </row>
    <row r="392" spans="2:17" ht="16.149999999999999" customHeight="1" x14ac:dyDescent="0.35">
      <c r="B392" s="332"/>
      <c r="C392" s="316"/>
      <c r="D392" s="316"/>
      <c r="E392" s="316"/>
      <c r="F392" s="317"/>
      <c r="G392" s="318"/>
      <c r="H392" s="227"/>
      <c r="I392" s="216" t="str">
        <f ca="1">'Translation Table'!H113</f>
        <v>NMVOC</v>
      </c>
      <c r="J392" s="116">
        <v>0.15</v>
      </c>
      <c r="K392" s="135" t="s">
        <v>1015</v>
      </c>
      <c r="L392" s="116">
        <f t="shared" si="9"/>
        <v>0.15</v>
      </c>
      <c r="M392" s="116" t="s">
        <v>1093</v>
      </c>
    </row>
    <row r="393" spans="2:17" ht="16.149999999999999" customHeight="1" x14ac:dyDescent="0.35">
      <c r="B393" s="332"/>
      <c r="C393" s="316"/>
      <c r="D393" s="316"/>
      <c r="E393" s="316"/>
      <c r="F393" s="317"/>
      <c r="G393" s="318"/>
      <c r="H393" s="222"/>
      <c r="I393" s="216" t="str">
        <f ca="1">'Translation Table'!H114</f>
        <v>SO2</v>
      </c>
      <c r="J393" s="116" t="s">
        <v>1015</v>
      </c>
      <c r="K393" s="135" t="s">
        <v>1015</v>
      </c>
      <c r="L393" s="116" t="str">
        <f t="shared" si="9"/>
        <v>NA</v>
      </c>
      <c r="M393" s="116" t="s">
        <v>1093</v>
      </c>
    </row>
    <row r="394" spans="2:17" ht="16.149999999999999" customHeight="1" x14ac:dyDescent="0.35">
      <c r="B394" s="332"/>
      <c r="C394" s="316"/>
      <c r="D394" s="316"/>
      <c r="E394" s="316"/>
      <c r="F394" s="317" t="str">
        <f ca="1">'Translation Table'!H239</f>
        <v>Gas produced</v>
      </c>
      <c r="G394" s="318"/>
      <c r="H394" s="223" t="str">
        <f ca="1">INDIRECT("'Lookup Tables'!B"&amp;78+P394) &amp;""</f>
        <v>E+06 m^3/y</v>
      </c>
      <c r="I394" s="216" t="str">
        <f ca="1">'Translation Table'!H108</f>
        <v>CH4</v>
      </c>
      <c r="J394" s="116">
        <v>1.65</v>
      </c>
      <c r="K394" s="135" t="s">
        <v>1015</v>
      </c>
      <c r="L394" s="116">
        <f t="shared" si="9"/>
        <v>1.65</v>
      </c>
      <c r="M394" s="116" t="s">
        <v>1093</v>
      </c>
      <c r="P394" s="133">
        <v>3</v>
      </c>
      <c r="Q394" s="133">
        <f ca="1">(INDIRECT("'Lookup Tables'!D"&amp;78+P394) &amp;"")*G394</f>
        <v>0</v>
      </c>
    </row>
    <row r="395" spans="2:17" ht="16.149999999999999" customHeight="1" x14ac:dyDescent="0.35">
      <c r="B395" s="332"/>
      <c r="C395" s="316"/>
      <c r="D395" s="316"/>
      <c r="E395" s="316"/>
      <c r="F395" s="317"/>
      <c r="G395" s="318"/>
      <c r="H395" s="224"/>
      <c r="I395" s="216" t="str">
        <f ca="1">'Translation Table'!H109</f>
        <v>CO2</v>
      </c>
      <c r="J395" s="116">
        <v>0.11</v>
      </c>
      <c r="K395" s="135" t="s">
        <v>1015</v>
      </c>
      <c r="L395" s="116">
        <f t="shared" si="9"/>
        <v>0.11</v>
      </c>
      <c r="M395" s="116" t="s">
        <v>1093</v>
      </c>
    </row>
    <row r="396" spans="2:17" ht="16.149999999999999" customHeight="1" x14ac:dyDescent="0.35">
      <c r="B396" s="332"/>
      <c r="C396" s="316"/>
      <c r="D396" s="316"/>
      <c r="E396" s="316"/>
      <c r="F396" s="317"/>
      <c r="G396" s="318"/>
      <c r="H396" s="224"/>
      <c r="I396" s="216" t="str">
        <f ca="1">'Translation Table'!H110</f>
        <v>N2O</v>
      </c>
      <c r="J396" s="116">
        <v>1.1999999999999999E-6</v>
      </c>
      <c r="K396" s="135" t="s">
        <v>1015</v>
      </c>
      <c r="L396" s="116">
        <f t="shared" si="9"/>
        <v>1.1999999999999999E-6</v>
      </c>
      <c r="M396" s="116" t="s">
        <v>1093</v>
      </c>
    </row>
    <row r="397" spans="2:17" ht="16.149999999999999" customHeight="1" x14ac:dyDescent="0.35">
      <c r="B397" s="332"/>
      <c r="C397" s="316"/>
      <c r="D397" s="316"/>
      <c r="E397" s="316"/>
      <c r="F397" s="317"/>
      <c r="G397" s="318"/>
      <c r="H397" s="224"/>
      <c r="I397" s="216" t="str">
        <f ca="1">'Translation Table'!H111</f>
        <v>NOx</v>
      </c>
      <c r="J397" s="116" t="s">
        <v>1015</v>
      </c>
      <c r="K397" s="135" t="s">
        <v>1015</v>
      </c>
      <c r="L397" s="116" t="str">
        <f t="shared" si="9"/>
        <v>NA</v>
      </c>
      <c r="M397" s="116" t="s">
        <v>1093</v>
      </c>
    </row>
    <row r="398" spans="2:17" ht="16.149999999999999" customHeight="1" x14ac:dyDescent="0.35">
      <c r="B398" s="332"/>
      <c r="C398" s="316"/>
      <c r="D398" s="316"/>
      <c r="E398" s="316"/>
      <c r="F398" s="317"/>
      <c r="G398" s="318"/>
      <c r="H398" s="224"/>
      <c r="I398" s="216" t="str">
        <f ca="1">'Translation Table'!H112</f>
        <v>CO</v>
      </c>
      <c r="J398" s="116" t="s">
        <v>1015</v>
      </c>
      <c r="K398" s="135" t="s">
        <v>1015</v>
      </c>
      <c r="L398" s="116" t="str">
        <f t="shared" si="9"/>
        <v>NA</v>
      </c>
      <c r="M398" s="116" t="s">
        <v>1093</v>
      </c>
    </row>
    <row r="399" spans="2:17" ht="16.149999999999999" customHeight="1" x14ac:dyDescent="0.35">
      <c r="B399" s="332"/>
      <c r="C399" s="316"/>
      <c r="D399" s="316"/>
      <c r="E399" s="316"/>
      <c r="F399" s="317"/>
      <c r="G399" s="318"/>
      <c r="H399" s="227"/>
      <c r="I399" s="216" t="str">
        <f ca="1">'Translation Table'!H113</f>
        <v>NMVOC</v>
      </c>
      <c r="J399" s="116">
        <v>0.13</v>
      </c>
      <c r="K399" s="135" t="s">
        <v>1015</v>
      </c>
      <c r="L399" s="116">
        <f t="shared" si="9"/>
        <v>0.13</v>
      </c>
      <c r="M399" s="116" t="s">
        <v>1093</v>
      </c>
    </row>
    <row r="400" spans="2:17" ht="16.149999999999999" customHeight="1" x14ac:dyDescent="0.35">
      <c r="B400" s="332"/>
      <c r="C400" s="316"/>
      <c r="D400" s="316"/>
      <c r="E400" s="316"/>
      <c r="F400" s="317"/>
      <c r="G400" s="318"/>
      <c r="H400" s="222"/>
      <c r="I400" s="216" t="str">
        <f ca="1">'Translation Table'!H114</f>
        <v>SO2</v>
      </c>
      <c r="J400" s="116" t="s">
        <v>1015</v>
      </c>
      <c r="K400" s="135" t="s">
        <v>1015</v>
      </c>
      <c r="L400" s="116" t="str">
        <f t="shared" si="9"/>
        <v>NA</v>
      </c>
      <c r="M400" s="116" t="s">
        <v>1093</v>
      </c>
    </row>
    <row r="401" spans="2:17" ht="16.149999999999999" customHeight="1" x14ac:dyDescent="0.35">
      <c r="B401" s="332"/>
      <c r="C401" s="316" t="str">
        <f ca="1">'Translation Table'!H165</f>
        <v>Extensive LDAR, and around 50% or more of centrifugal compressors have dry seals</v>
      </c>
      <c r="D401" s="316"/>
      <c r="E401" s="316"/>
      <c r="F401" s="317" t="str">
        <f ca="1">'Translation Table'!H240</f>
        <v>Gas processed</v>
      </c>
      <c r="G401" s="318"/>
      <c r="H401" s="223" t="str">
        <f ca="1">INDIRECT("'Lookup Tables'!B"&amp;78+P401) &amp;""</f>
        <v>E+06 m^3/y</v>
      </c>
      <c r="I401" s="216" t="str">
        <f ca="1">'Translation Table'!H108</f>
        <v>CH4</v>
      </c>
      <c r="J401" s="116">
        <v>0.75</v>
      </c>
      <c r="K401" s="135" t="s">
        <v>1015</v>
      </c>
      <c r="L401" s="116">
        <f t="shared" si="9"/>
        <v>0.75</v>
      </c>
      <c r="M401" s="116" t="s">
        <v>1093</v>
      </c>
      <c r="P401" s="133">
        <v>3</v>
      </c>
      <c r="Q401" s="133">
        <f ca="1">(INDIRECT("'Lookup Tables'!D"&amp;78+P401) &amp;"")*G401</f>
        <v>0</v>
      </c>
    </row>
    <row r="402" spans="2:17" ht="16.149999999999999" customHeight="1" x14ac:dyDescent="0.35">
      <c r="B402" s="332"/>
      <c r="C402" s="316"/>
      <c r="D402" s="316"/>
      <c r="E402" s="316"/>
      <c r="F402" s="317"/>
      <c r="G402" s="318"/>
      <c r="H402" s="224"/>
      <c r="I402" s="216" t="str">
        <f ca="1">'Translation Table'!H109</f>
        <v>CO2</v>
      </c>
      <c r="J402" s="116">
        <v>9.4499999999999993</v>
      </c>
      <c r="K402" s="135" t="s">
        <v>1015</v>
      </c>
      <c r="L402" s="116">
        <f t="shared" si="9"/>
        <v>9.4499999999999993</v>
      </c>
      <c r="M402" s="116" t="s">
        <v>1093</v>
      </c>
    </row>
    <row r="403" spans="2:17" ht="16.149999999999999" customHeight="1" x14ac:dyDescent="0.35">
      <c r="B403" s="332"/>
      <c r="C403" s="316"/>
      <c r="D403" s="316"/>
      <c r="E403" s="316"/>
      <c r="F403" s="317"/>
      <c r="G403" s="318"/>
      <c r="H403" s="224"/>
      <c r="I403" s="216" t="str">
        <f ca="1">'Translation Table'!H110</f>
        <v>N2O</v>
      </c>
      <c r="J403" s="116">
        <v>1E-4</v>
      </c>
      <c r="K403" s="135" t="s">
        <v>1015</v>
      </c>
      <c r="L403" s="116">
        <f t="shared" si="9"/>
        <v>1E-4</v>
      </c>
      <c r="M403" s="116" t="s">
        <v>1093</v>
      </c>
    </row>
    <row r="404" spans="2:17" ht="16.149999999999999" customHeight="1" x14ac:dyDescent="0.35">
      <c r="B404" s="332"/>
      <c r="C404" s="316"/>
      <c r="D404" s="316"/>
      <c r="E404" s="316"/>
      <c r="F404" s="317"/>
      <c r="G404" s="318"/>
      <c r="H404" s="224"/>
      <c r="I404" s="216" t="str">
        <f ca="1">'Translation Table'!H111</f>
        <v>NOx</v>
      </c>
      <c r="J404" s="116" t="s">
        <v>1015</v>
      </c>
      <c r="K404" s="135" t="s">
        <v>1015</v>
      </c>
      <c r="L404" s="116" t="str">
        <f t="shared" si="9"/>
        <v>NA</v>
      </c>
      <c r="M404" s="116" t="s">
        <v>1093</v>
      </c>
    </row>
    <row r="405" spans="2:17" ht="16.149999999999999" customHeight="1" x14ac:dyDescent="0.35">
      <c r="B405" s="332"/>
      <c r="C405" s="316"/>
      <c r="D405" s="316"/>
      <c r="E405" s="316"/>
      <c r="F405" s="317"/>
      <c r="G405" s="318"/>
      <c r="H405" s="224"/>
      <c r="I405" s="216" t="str">
        <f ca="1">'Translation Table'!H112</f>
        <v>CO</v>
      </c>
      <c r="J405" s="116" t="s">
        <v>1015</v>
      </c>
      <c r="K405" s="135" t="s">
        <v>1015</v>
      </c>
      <c r="L405" s="116" t="str">
        <f t="shared" si="9"/>
        <v>NA</v>
      </c>
      <c r="M405" s="116" t="s">
        <v>1093</v>
      </c>
    </row>
    <row r="406" spans="2:17" ht="16.149999999999999" customHeight="1" x14ac:dyDescent="0.35">
      <c r="B406" s="332"/>
      <c r="C406" s="316"/>
      <c r="D406" s="316"/>
      <c r="E406" s="316"/>
      <c r="F406" s="317"/>
      <c r="G406" s="318"/>
      <c r="H406" s="227"/>
      <c r="I406" s="216" t="str">
        <f ca="1">'Translation Table'!H113</f>
        <v>NMVOC</v>
      </c>
      <c r="J406" s="116">
        <v>0.06</v>
      </c>
      <c r="K406" s="135" t="s">
        <v>1015</v>
      </c>
      <c r="L406" s="116">
        <f t="shared" si="9"/>
        <v>0.06</v>
      </c>
      <c r="M406" s="116" t="s">
        <v>1093</v>
      </c>
    </row>
    <row r="407" spans="2:17" ht="16.149999999999999" customHeight="1" x14ac:dyDescent="0.35">
      <c r="B407" s="332"/>
      <c r="C407" s="316"/>
      <c r="D407" s="316"/>
      <c r="E407" s="316"/>
      <c r="F407" s="317"/>
      <c r="G407" s="318"/>
      <c r="H407" s="222"/>
      <c r="I407" s="216" t="str">
        <f ca="1">'Translation Table'!H114</f>
        <v>SO2</v>
      </c>
      <c r="J407" s="116" t="s">
        <v>1015</v>
      </c>
      <c r="K407" s="135" t="s">
        <v>1015</v>
      </c>
      <c r="L407" s="116" t="str">
        <f t="shared" ref="L407:L470" si="10">IF(OR(K407="",K407="NA"),J407,K407)</f>
        <v>NA</v>
      </c>
      <c r="M407" s="116" t="s">
        <v>1093</v>
      </c>
    </row>
    <row r="408" spans="2:17" ht="16.149999999999999" customHeight="1" x14ac:dyDescent="0.35">
      <c r="B408" s="332"/>
      <c r="C408" s="316"/>
      <c r="D408" s="316"/>
      <c r="E408" s="316"/>
      <c r="F408" s="317" t="str">
        <f ca="1">'Translation Table'!H241</f>
        <v>Gas produced</v>
      </c>
      <c r="G408" s="318"/>
      <c r="H408" s="223" t="str">
        <f ca="1">INDIRECT("'Lookup Tables'!B"&amp;78+P408) &amp;""</f>
        <v>E+06 m^3/y</v>
      </c>
      <c r="I408" s="216" t="str">
        <f ca="1">'Translation Table'!H108</f>
        <v>CH4</v>
      </c>
      <c r="J408" s="116">
        <v>0.56999999999999995</v>
      </c>
      <c r="K408" s="135" t="s">
        <v>1015</v>
      </c>
      <c r="L408" s="116">
        <f t="shared" si="10"/>
        <v>0.56999999999999995</v>
      </c>
      <c r="M408" s="116" t="s">
        <v>1093</v>
      </c>
      <c r="P408" s="133">
        <v>3</v>
      </c>
      <c r="Q408" s="133">
        <f ca="1">(INDIRECT("'Lookup Tables'!D"&amp;78+P408) &amp;"")*G408</f>
        <v>0</v>
      </c>
    </row>
    <row r="409" spans="2:17" ht="16.149999999999999" customHeight="1" x14ac:dyDescent="0.35">
      <c r="B409" s="332"/>
      <c r="C409" s="316"/>
      <c r="D409" s="316"/>
      <c r="E409" s="316"/>
      <c r="F409" s="317"/>
      <c r="G409" s="318"/>
      <c r="H409" s="224"/>
      <c r="I409" s="216" t="str">
        <f ca="1">'Translation Table'!H109</f>
        <v>CO2</v>
      </c>
      <c r="J409" s="116">
        <v>7.21</v>
      </c>
      <c r="K409" s="135" t="s">
        <v>1015</v>
      </c>
      <c r="L409" s="116">
        <f t="shared" si="10"/>
        <v>7.21</v>
      </c>
      <c r="M409" s="116" t="s">
        <v>1093</v>
      </c>
    </row>
    <row r="410" spans="2:17" ht="16.149999999999999" customHeight="1" x14ac:dyDescent="0.35">
      <c r="B410" s="332"/>
      <c r="C410" s="316"/>
      <c r="D410" s="316"/>
      <c r="E410" s="316"/>
      <c r="F410" s="317"/>
      <c r="G410" s="318"/>
      <c r="H410" s="224"/>
      <c r="I410" s="216" t="str">
        <f ca="1">'Translation Table'!H110</f>
        <v>N2O</v>
      </c>
      <c r="J410" s="116">
        <v>7.8999999999999996E-5</v>
      </c>
      <c r="K410" s="135" t="s">
        <v>1015</v>
      </c>
      <c r="L410" s="116">
        <f t="shared" si="10"/>
        <v>7.8999999999999996E-5</v>
      </c>
      <c r="M410" s="116" t="s">
        <v>1093</v>
      </c>
    </row>
    <row r="411" spans="2:17" ht="16.149999999999999" customHeight="1" x14ac:dyDescent="0.35">
      <c r="B411" s="332"/>
      <c r="C411" s="316"/>
      <c r="D411" s="316"/>
      <c r="E411" s="316"/>
      <c r="F411" s="317"/>
      <c r="G411" s="318"/>
      <c r="H411" s="224"/>
      <c r="I411" s="216" t="str">
        <f ca="1">'Translation Table'!H111</f>
        <v>NOx</v>
      </c>
      <c r="J411" s="116" t="s">
        <v>1015</v>
      </c>
      <c r="K411" s="135" t="s">
        <v>1015</v>
      </c>
      <c r="L411" s="116" t="str">
        <f t="shared" si="10"/>
        <v>NA</v>
      </c>
      <c r="M411" s="116" t="s">
        <v>1093</v>
      </c>
    </row>
    <row r="412" spans="2:17" ht="16.149999999999999" customHeight="1" x14ac:dyDescent="0.35">
      <c r="B412" s="332"/>
      <c r="C412" s="316"/>
      <c r="D412" s="316"/>
      <c r="E412" s="316"/>
      <c r="F412" s="317"/>
      <c r="G412" s="318"/>
      <c r="H412" s="224"/>
      <c r="I412" s="216" t="str">
        <f ca="1">'Translation Table'!H112</f>
        <v>CO</v>
      </c>
      <c r="J412" s="116" t="s">
        <v>1015</v>
      </c>
      <c r="K412" s="135" t="s">
        <v>1015</v>
      </c>
      <c r="L412" s="116" t="str">
        <f t="shared" si="10"/>
        <v>NA</v>
      </c>
      <c r="M412" s="116" t="s">
        <v>1093</v>
      </c>
    </row>
    <row r="413" spans="2:17" ht="16.149999999999999" customHeight="1" x14ac:dyDescent="0.35">
      <c r="B413" s="332"/>
      <c r="C413" s="316"/>
      <c r="D413" s="316"/>
      <c r="E413" s="316"/>
      <c r="F413" s="317"/>
      <c r="G413" s="318"/>
      <c r="H413" s="227"/>
      <c r="I413" s="216" t="str">
        <f ca="1">'Translation Table'!H113</f>
        <v>NMVOC</v>
      </c>
      <c r="J413" s="116">
        <v>0.05</v>
      </c>
      <c r="K413" s="135" t="s">
        <v>1015</v>
      </c>
      <c r="L413" s="116">
        <f t="shared" si="10"/>
        <v>0.05</v>
      </c>
      <c r="M413" s="116" t="s">
        <v>1093</v>
      </c>
    </row>
    <row r="414" spans="2:17" ht="16.149999999999999" customHeight="1" x14ac:dyDescent="0.35">
      <c r="B414" s="332"/>
      <c r="C414" s="316"/>
      <c r="D414" s="316"/>
      <c r="E414" s="316"/>
      <c r="F414" s="317"/>
      <c r="G414" s="318"/>
      <c r="H414" s="222"/>
      <c r="I414" s="216" t="str">
        <f ca="1">'Translation Table'!H114</f>
        <v>SO2</v>
      </c>
      <c r="J414" s="116" t="s">
        <v>1015</v>
      </c>
      <c r="K414" s="135" t="s">
        <v>1015</v>
      </c>
      <c r="L414" s="116" t="str">
        <f t="shared" si="10"/>
        <v>NA</v>
      </c>
      <c r="M414" s="116" t="s">
        <v>1093</v>
      </c>
    </row>
    <row r="415" spans="2:17" ht="16.149999999999999" customHeight="1" x14ac:dyDescent="0.35">
      <c r="B415" s="332"/>
      <c r="C415" s="316" t="str">
        <f ca="1">'Translation Table'!H166</f>
        <v>Processing All</v>
      </c>
      <c r="D415" s="316"/>
      <c r="E415" s="316"/>
      <c r="F415" s="317" t="str">
        <f ca="1">'Translation Table'!H242</f>
        <v>Gas processed</v>
      </c>
      <c r="G415" s="318"/>
      <c r="H415" s="223" t="str">
        <f ca="1">INDIRECT("'Lookup Tables'!B"&amp;78+P415) &amp;""</f>
        <v>E+06 m^3/y</v>
      </c>
      <c r="I415" s="216" t="str">
        <f ca="1">'Translation Table'!H108</f>
        <v>CH4</v>
      </c>
      <c r="J415" s="116" t="s">
        <v>1015</v>
      </c>
      <c r="K415" s="135"/>
      <c r="L415" s="116" t="str">
        <f t="shared" si="10"/>
        <v>NA</v>
      </c>
      <c r="M415" s="116" t="s">
        <v>1093</v>
      </c>
      <c r="P415" s="133">
        <v>3</v>
      </c>
      <c r="Q415" s="133">
        <f ca="1">(INDIRECT("'Lookup Tables'!D"&amp;78+P415) &amp;"")*G415</f>
        <v>0</v>
      </c>
    </row>
    <row r="416" spans="2:17" ht="16.149999999999999" customHeight="1" x14ac:dyDescent="0.35">
      <c r="B416" s="332"/>
      <c r="C416" s="316"/>
      <c r="D416" s="316"/>
      <c r="E416" s="316"/>
      <c r="F416" s="317"/>
      <c r="G416" s="318"/>
      <c r="H416" s="224"/>
      <c r="I416" s="216" t="str">
        <f ca="1">'Translation Table'!H109</f>
        <v>CO2</v>
      </c>
      <c r="J416" s="116" t="s">
        <v>1015</v>
      </c>
      <c r="K416" s="135"/>
      <c r="L416" s="116" t="str">
        <f t="shared" si="10"/>
        <v>NA</v>
      </c>
      <c r="M416" s="116" t="s">
        <v>1093</v>
      </c>
    </row>
    <row r="417" spans="2:17" ht="16.149999999999999" customHeight="1" x14ac:dyDescent="0.35">
      <c r="B417" s="332"/>
      <c r="C417" s="316"/>
      <c r="D417" s="316"/>
      <c r="E417" s="316"/>
      <c r="F417" s="317"/>
      <c r="G417" s="318"/>
      <c r="H417" s="224"/>
      <c r="I417" s="216" t="str">
        <f ca="1">'Translation Table'!H110</f>
        <v>N2O</v>
      </c>
      <c r="J417" s="116" t="s">
        <v>1015</v>
      </c>
      <c r="K417" s="135"/>
      <c r="L417" s="116" t="str">
        <f t="shared" si="10"/>
        <v>NA</v>
      </c>
      <c r="M417" s="116" t="s">
        <v>1093</v>
      </c>
    </row>
    <row r="418" spans="2:17" ht="16.149999999999999" customHeight="1" x14ac:dyDescent="0.35">
      <c r="B418" s="332"/>
      <c r="C418" s="316"/>
      <c r="D418" s="316"/>
      <c r="E418" s="316"/>
      <c r="F418" s="317"/>
      <c r="G418" s="318"/>
      <c r="H418" s="224"/>
      <c r="I418" s="216" t="str">
        <f ca="1">'Translation Table'!H111</f>
        <v>NOx</v>
      </c>
      <c r="J418" s="116" t="s">
        <v>1015</v>
      </c>
      <c r="K418" s="135"/>
      <c r="L418" s="116" t="str">
        <f t="shared" si="10"/>
        <v>NA</v>
      </c>
      <c r="M418" s="116" t="s">
        <v>1093</v>
      </c>
    </row>
    <row r="419" spans="2:17" ht="16.149999999999999" customHeight="1" x14ac:dyDescent="0.35">
      <c r="B419" s="332"/>
      <c r="C419" s="316"/>
      <c r="D419" s="316"/>
      <c r="E419" s="316"/>
      <c r="F419" s="317"/>
      <c r="G419" s="318"/>
      <c r="H419" s="224"/>
      <c r="I419" s="216" t="str">
        <f ca="1">'Translation Table'!H112</f>
        <v>CO</v>
      </c>
      <c r="J419" s="116" t="s">
        <v>1015</v>
      </c>
      <c r="K419" s="135"/>
      <c r="L419" s="116" t="str">
        <f t="shared" si="10"/>
        <v>NA</v>
      </c>
      <c r="M419" s="116" t="s">
        <v>1093</v>
      </c>
    </row>
    <row r="420" spans="2:17" ht="16.149999999999999" customHeight="1" x14ac:dyDescent="0.35">
      <c r="B420" s="332"/>
      <c r="C420" s="316"/>
      <c r="D420" s="316"/>
      <c r="E420" s="316"/>
      <c r="F420" s="317"/>
      <c r="G420" s="318"/>
      <c r="H420" s="227"/>
      <c r="I420" s="216" t="str">
        <f ca="1">'Translation Table'!H113</f>
        <v>NMVOC</v>
      </c>
      <c r="J420" s="116" t="s">
        <v>1015</v>
      </c>
      <c r="K420" s="135"/>
      <c r="L420" s="116" t="str">
        <f t="shared" si="10"/>
        <v>NA</v>
      </c>
      <c r="M420" s="116" t="s">
        <v>1093</v>
      </c>
    </row>
    <row r="421" spans="2:17" ht="16.149999999999999" customHeight="1" x14ac:dyDescent="0.35">
      <c r="B421" s="332"/>
      <c r="C421" s="316"/>
      <c r="D421" s="316"/>
      <c r="E421" s="316"/>
      <c r="F421" s="317"/>
      <c r="G421" s="318"/>
      <c r="H421" s="222"/>
      <c r="I421" s="216" t="str">
        <f ca="1">'Translation Table'!H114</f>
        <v>SO2</v>
      </c>
      <c r="J421" s="116" t="s">
        <v>1015</v>
      </c>
      <c r="K421" s="135"/>
      <c r="L421" s="116" t="str">
        <f t="shared" si="10"/>
        <v>NA</v>
      </c>
      <c r="M421" s="116" t="s">
        <v>1093</v>
      </c>
    </row>
    <row r="422" spans="2:17" ht="16.149999999999999" customHeight="1" x14ac:dyDescent="0.35">
      <c r="B422" s="332"/>
      <c r="C422" s="316"/>
      <c r="D422" s="316"/>
      <c r="E422" s="316"/>
      <c r="F422" s="317" t="str">
        <f ca="1">'Translation Table'!H243</f>
        <v>Gas produced</v>
      </c>
      <c r="G422" s="318"/>
      <c r="H422" s="223" t="str">
        <f ca="1">INDIRECT("'Lookup Tables'!B"&amp;78+P422) &amp;""</f>
        <v>E+06 m^3/y</v>
      </c>
      <c r="I422" s="216" t="str">
        <f ca="1">'Translation Table'!H108</f>
        <v>CH4</v>
      </c>
      <c r="J422" s="116" t="s">
        <v>1015</v>
      </c>
      <c r="K422" s="135"/>
      <c r="L422" s="116" t="str">
        <f t="shared" si="10"/>
        <v>NA</v>
      </c>
      <c r="M422" s="116" t="s">
        <v>1093</v>
      </c>
      <c r="P422" s="133">
        <v>3</v>
      </c>
      <c r="Q422" s="133">
        <f ca="1">(INDIRECT("'Lookup Tables'!D"&amp;78+P422) &amp;"")*G422</f>
        <v>0</v>
      </c>
    </row>
    <row r="423" spans="2:17" ht="16.149999999999999" customHeight="1" x14ac:dyDescent="0.35">
      <c r="B423" s="332"/>
      <c r="C423" s="316"/>
      <c r="D423" s="316"/>
      <c r="E423" s="316"/>
      <c r="F423" s="317"/>
      <c r="G423" s="318"/>
      <c r="H423" s="224"/>
      <c r="I423" s="216" t="str">
        <f ca="1">'Translation Table'!H109</f>
        <v>CO2</v>
      </c>
      <c r="J423" s="116" t="s">
        <v>1015</v>
      </c>
      <c r="K423" s="135"/>
      <c r="L423" s="116" t="str">
        <f t="shared" si="10"/>
        <v>NA</v>
      </c>
      <c r="M423" s="116" t="s">
        <v>1093</v>
      </c>
    </row>
    <row r="424" spans="2:17" ht="16.149999999999999" customHeight="1" x14ac:dyDescent="0.35">
      <c r="B424" s="332"/>
      <c r="C424" s="316"/>
      <c r="D424" s="316"/>
      <c r="E424" s="316"/>
      <c r="F424" s="317"/>
      <c r="G424" s="318"/>
      <c r="H424" s="224"/>
      <c r="I424" s="216" t="str">
        <f ca="1">'Translation Table'!H110</f>
        <v>N2O</v>
      </c>
      <c r="J424" s="116" t="s">
        <v>1015</v>
      </c>
      <c r="K424" s="135"/>
      <c r="L424" s="116" t="str">
        <f t="shared" si="10"/>
        <v>NA</v>
      </c>
      <c r="M424" s="116" t="s">
        <v>1093</v>
      </c>
    </row>
    <row r="425" spans="2:17" ht="16.149999999999999" customHeight="1" x14ac:dyDescent="0.35">
      <c r="B425" s="332"/>
      <c r="C425" s="316"/>
      <c r="D425" s="316"/>
      <c r="E425" s="316"/>
      <c r="F425" s="317"/>
      <c r="G425" s="318"/>
      <c r="H425" s="224"/>
      <c r="I425" s="216" t="str">
        <f ca="1">'Translation Table'!H111</f>
        <v>NOx</v>
      </c>
      <c r="J425" s="116" t="s">
        <v>1015</v>
      </c>
      <c r="K425" s="135"/>
      <c r="L425" s="116" t="str">
        <f t="shared" si="10"/>
        <v>NA</v>
      </c>
      <c r="M425" s="116" t="s">
        <v>1093</v>
      </c>
    </row>
    <row r="426" spans="2:17" ht="16.149999999999999" customHeight="1" x14ac:dyDescent="0.35">
      <c r="B426" s="332"/>
      <c r="C426" s="316"/>
      <c r="D426" s="316"/>
      <c r="E426" s="316"/>
      <c r="F426" s="317"/>
      <c r="G426" s="318"/>
      <c r="H426" s="224"/>
      <c r="I426" s="216" t="str">
        <f ca="1">'Translation Table'!H112</f>
        <v>CO</v>
      </c>
      <c r="J426" s="116" t="s">
        <v>1015</v>
      </c>
      <c r="K426" s="135"/>
      <c r="L426" s="116" t="str">
        <f t="shared" si="10"/>
        <v>NA</v>
      </c>
      <c r="M426" s="116" t="s">
        <v>1093</v>
      </c>
    </row>
    <row r="427" spans="2:17" ht="16.149999999999999" customHeight="1" x14ac:dyDescent="0.35">
      <c r="B427" s="332"/>
      <c r="C427" s="316"/>
      <c r="D427" s="316"/>
      <c r="E427" s="316"/>
      <c r="F427" s="317"/>
      <c r="G427" s="318"/>
      <c r="H427" s="227"/>
      <c r="I427" s="216" t="str">
        <f ca="1">'Translation Table'!H113</f>
        <v>NMVOC</v>
      </c>
      <c r="J427" s="116" t="s">
        <v>1015</v>
      </c>
      <c r="K427" s="135"/>
      <c r="L427" s="116" t="str">
        <f t="shared" si="10"/>
        <v>NA</v>
      </c>
      <c r="M427" s="116" t="s">
        <v>1093</v>
      </c>
    </row>
    <row r="428" spans="2:17" ht="16.149999999999999" customHeight="1" x14ac:dyDescent="0.35">
      <c r="B428" s="332"/>
      <c r="C428" s="316"/>
      <c r="D428" s="316"/>
      <c r="E428" s="316"/>
      <c r="F428" s="317"/>
      <c r="G428" s="318"/>
      <c r="H428" s="222"/>
      <c r="I428" s="216" t="str">
        <f ca="1">'Translation Table'!H114</f>
        <v>SO2</v>
      </c>
      <c r="J428" s="116" t="s">
        <v>1015</v>
      </c>
      <c r="K428" s="135"/>
      <c r="L428" s="116" t="str">
        <f t="shared" si="10"/>
        <v>NA</v>
      </c>
      <c r="M428" s="116" t="s">
        <v>1093</v>
      </c>
    </row>
    <row r="429" spans="2:17" ht="16.149999999999999" customHeight="1" x14ac:dyDescent="0.35">
      <c r="B429" s="332"/>
      <c r="C429" s="316" t="str">
        <f ca="1">'Translation Table'!H167</f>
        <v>Sour gas (acid gas removal)</v>
      </c>
      <c r="D429" s="316"/>
      <c r="E429" s="316"/>
      <c r="F429" s="317" t="str">
        <f ca="1">'Translation Table'!H244</f>
        <v>Sour gas processed</v>
      </c>
      <c r="G429" s="318"/>
      <c r="H429" s="223" t="str">
        <f ca="1">INDIRECT("'Lookup Tables'!B"&amp;78+P429) &amp;""</f>
        <v>E+06 m^3/y</v>
      </c>
      <c r="I429" s="216" t="str">
        <f ca="1">'Translation Table'!H108</f>
        <v>CH4</v>
      </c>
      <c r="J429" s="116">
        <v>0.1</v>
      </c>
      <c r="K429" s="135"/>
      <c r="L429" s="116">
        <f t="shared" si="10"/>
        <v>0.1</v>
      </c>
      <c r="M429" s="116" t="s">
        <v>1093</v>
      </c>
      <c r="P429" s="133">
        <v>3</v>
      </c>
      <c r="Q429" s="133">
        <f ca="1">(INDIRECT("'Lookup Tables'!D"&amp;78+P429) &amp;"")*G429</f>
        <v>0</v>
      </c>
    </row>
    <row r="430" spans="2:17" ht="16.149999999999999" customHeight="1" x14ac:dyDescent="0.35">
      <c r="B430" s="332"/>
      <c r="C430" s="316"/>
      <c r="D430" s="316"/>
      <c r="E430" s="316"/>
      <c r="F430" s="317"/>
      <c r="G430" s="318"/>
      <c r="H430" s="224"/>
      <c r="I430" s="216" t="str">
        <f ca="1">'Translation Table'!H109</f>
        <v>CO2</v>
      </c>
      <c r="J430" s="116">
        <v>66.7</v>
      </c>
      <c r="K430" s="135"/>
      <c r="L430" s="116">
        <f t="shared" si="10"/>
        <v>66.7</v>
      </c>
      <c r="M430" s="116" t="s">
        <v>1093</v>
      </c>
    </row>
    <row r="431" spans="2:17" ht="16.149999999999999" customHeight="1" x14ac:dyDescent="0.35">
      <c r="B431" s="332"/>
      <c r="C431" s="316"/>
      <c r="D431" s="316"/>
      <c r="E431" s="316"/>
      <c r="F431" s="317"/>
      <c r="G431" s="318"/>
      <c r="H431" s="224"/>
      <c r="I431" s="216" t="str">
        <f ca="1">'Translation Table'!H110</f>
        <v>N2O</v>
      </c>
      <c r="J431" s="116">
        <v>1.3E-6</v>
      </c>
      <c r="K431" s="135"/>
      <c r="L431" s="116">
        <f t="shared" si="10"/>
        <v>1.3E-6</v>
      </c>
      <c r="M431" s="116" t="s">
        <v>1093</v>
      </c>
    </row>
    <row r="432" spans="2:17" ht="16.149999999999999" customHeight="1" x14ac:dyDescent="0.35">
      <c r="B432" s="332"/>
      <c r="C432" s="316"/>
      <c r="D432" s="316"/>
      <c r="E432" s="316"/>
      <c r="F432" s="317"/>
      <c r="G432" s="318"/>
      <c r="H432" s="224"/>
      <c r="I432" s="216" t="str">
        <f ca="1">'Translation Table'!H111</f>
        <v>NOx</v>
      </c>
      <c r="J432" s="116" t="s">
        <v>1015</v>
      </c>
      <c r="K432" s="135"/>
      <c r="L432" s="116" t="str">
        <f t="shared" si="10"/>
        <v>NA</v>
      </c>
      <c r="M432" s="116" t="s">
        <v>1093</v>
      </c>
    </row>
    <row r="433" spans="2:17" ht="16.149999999999999" customHeight="1" x14ac:dyDescent="0.35">
      <c r="B433" s="332"/>
      <c r="C433" s="316"/>
      <c r="D433" s="316"/>
      <c r="E433" s="316"/>
      <c r="F433" s="317"/>
      <c r="G433" s="318"/>
      <c r="H433" s="224"/>
      <c r="I433" s="216" t="str">
        <f ca="1">'Translation Table'!H112</f>
        <v>CO</v>
      </c>
      <c r="J433" s="116" t="s">
        <v>1015</v>
      </c>
      <c r="K433" s="135"/>
      <c r="L433" s="116" t="str">
        <f t="shared" si="10"/>
        <v>NA</v>
      </c>
      <c r="M433" s="116" t="s">
        <v>1093</v>
      </c>
    </row>
    <row r="434" spans="2:17" ht="16.149999999999999" customHeight="1" x14ac:dyDescent="0.35">
      <c r="B434" s="332"/>
      <c r="C434" s="316"/>
      <c r="D434" s="316"/>
      <c r="E434" s="316"/>
      <c r="F434" s="317"/>
      <c r="G434" s="318"/>
      <c r="H434" s="227"/>
      <c r="I434" s="216" t="str">
        <f ca="1">'Translation Table'!H113</f>
        <v>NMVOC</v>
      </c>
      <c r="J434" s="116">
        <v>0.15</v>
      </c>
      <c r="K434" s="135"/>
      <c r="L434" s="116">
        <f t="shared" si="10"/>
        <v>0.15</v>
      </c>
      <c r="M434" s="116" t="s">
        <v>1093</v>
      </c>
    </row>
    <row r="435" spans="2:17" ht="16.149999999999999" customHeight="1" x14ac:dyDescent="0.35">
      <c r="B435" s="332"/>
      <c r="C435" s="316"/>
      <c r="D435" s="316"/>
      <c r="E435" s="316"/>
      <c r="F435" s="317"/>
      <c r="G435" s="318"/>
      <c r="H435" s="222"/>
      <c r="I435" s="216" t="str">
        <f ca="1">'Translation Table'!H114</f>
        <v>SO2</v>
      </c>
      <c r="J435" s="116" t="s">
        <v>1015</v>
      </c>
      <c r="K435" s="135"/>
      <c r="L435" s="116" t="str">
        <f t="shared" si="10"/>
        <v>NA</v>
      </c>
      <c r="M435" s="116" t="s">
        <v>1093</v>
      </c>
    </row>
    <row r="436" spans="2:17" ht="16.149999999999999" customHeight="1" x14ac:dyDescent="0.35">
      <c r="B436" s="332" t="str">
        <f ca="1">'Translation Table'!H125</f>
        <v>Gas Transmission and Storage</v>
      </c>
      <c r="C436" s="316" t="str">
        <f ca="1">'Translation Table'!H168</f>
        <v>Transmission: Limited LDAR or less than 50% of centrifugal compressors have dry seals</v>
      </c>
      <c r="D436" s="316"/>
      <c r="E436" s="316"/>
      <c r="F436" s="317" t="str">
        <f ca="1">'Translation Table'!H245</f>
        <v>Gas consumption</v>
      </c>
      <c r="G436" s="318"/>
      <c r="H436" s="223" t="str">
        <f ca="1">INDIRECT("'Lookup Tables'!B"&amp;78+P436) &amp;""</f>
        <v>E+06 m^3/y</v>
      </c>
      <c r="I436" s="216" t="str">
        <f ca="1">'Translation Table'!H108</f>
        <v>CH4</v>
      </c>
      <c r="J436" s="116">
        <v>3.36</v>
      </c>
      <c r="K436" s="135" t="s">
        <v>1015</v>
      </c>
      <c r="L436" s="116">
        <f t="shared" si="10"/>
        <v>3.36</v>
      </c>
      <c r="M436" s="116" t="s">
        <v>1093</v>
      </c>
      <c r="P436" s="133">
        <v>3</v>
      </c>
      <c r="Q436" s="133">
        <f ca="1">(INDIRECT("'Lookup Tables'!D"&amp;78+P436) &amp;"")*G436</f>
        <v>0</v>
      </c>
    </row>
    <row r="437" spans="2:17" ht="16.149999999999999" customHeight="1" x14ac:dyDescent="0.35">
      <c r="B437" s="332"/>
      <c r="C437" s="316"/>
      <c r="D437" s="316"/>
      <c r="E437" s="316"/>
      <c r="F437" s="317"/>
      <c r="G437" s="318"/>
      <c r="H437" s="224"/>
      <c r="I437" s="216" t="str">
        <f ca="1">'Translation Table'!H109</f>
        <v>CO2</v>
      </c>
      <c r="J437" s="116">
        <v>0.23</v>
      </c>
      <c r="K437" s="135" t="s">
        <v>1015</v>
      </c>
      <c r="L437" s="116">
        <f t="shared" si="10"/>
        <v>0.23</v>
      </c>
      <c r="M437" s="116" t="s">
        <v>1093</v>
      </c>
    </row>
    <row r="438" spans="2:17" ht="16.149999999999999" customHeight="1" x14ac:dyDescent="0.35">
      <c r="B438" s="332"/>
      <c r="C438" s="316"/>
      <c r="D438" s="316"/>
      <c r="E438" s="316"/>
      <c r="F438" s="317"/>
      <c r="G438" s="318"/>
      <c r="H438" s="224"/>
      <c r="I438" s="216" t="str">
        <f ca="1">'Translation Table'!H110</f>
        <v>N2O</v>
      </c>
      <c r="J438" s="116" t="s">
        <v>1015</v>
      </c>
      <c r="K438" s="135" t="s">
        <v>1015</v>
      </c>
      <c r="L438" s="116" t="str">
        <f t="shared" si="10"/>
        <v>NA</v>
      </c>
      <c r="M438" s="116" t="s">
        <v>1093</v>
      </c>
    </row>
    <row r="439" spans="2:17" ht="16.149999999999999" customHeight="1" x14ac:dyDescent="0.35">
      <c r="B439" s="332"/>
      <c r="C439" s="316"/>
      <c r="D439" s="316"/>
      <c r="E439" s="316"/>
      <c r="F439" s="317"/>
      <c r="G439" s="318"/>
      <c r="H439" s="224"/>
      <c r="I439" s="216" t="str">
        <f ca="1">'Translation Table'!H111</f>
        <v>NOx</v>
      </c>
      <c r="J439" s="116" t="s">
        <v>1015</v>
      </c>
      <c r="K439" s="135" t="s">
        <v>1015</v>
      </c>
      <c r="L439" s="116" t="str">
        <f t="shared" si="10"/>
        <v>NA</v>
      </c>
      <c r="M439" s="116" t="s">
        <v>1093</v>
      </c>
    </row>
    <row r="440" spans="2:17" ht="16.149999999999999" customHeight="1" x14ac:dyDescent="0.35">
      <c r="B440" s="332"/>
      <c r="C440" s="316"/>
      <c r="D440" s="316"/>
      <c r="E440" s="316"/>
      <c r="F440" s="317"/>
      <c r="G440" s="318"/>
      <c r="H440" s="224"/>
      <c r="I440" s="216" t="str">
        <f ca="1">'Translation Table'!H112</f>
        <v>CO</v>
      </c>
      <c r="J440" s="116" t="s">
        <v>1015</v>
      </c>
      <c r="K440" s="135" t="s">
        <v>1015</v>
      </c>
      <c r="L440" s="116" t="str">
        <f t="shared" si="10"/>
        <v>NA</v>
      </c>
      <c r="M440" s="116" t="s">
        <v>1093</v>
      </c>
    </row>
    <row r="441" spans="2:17" ht="16.149999999999999" customHeight="1" x14ac:dyDescent="0.35">
      <c r="B441" s="332"/>
      <c r="C441" s="316"/>
      <c r="D441" s="316"/>
      <c r="E441" s="316"/>
      <c r="F441" s="317"/>
      <c r="G441" s="318"/>
      <c r="H441" s="227"/>
      <c r="I441" s="216" t="str">
        <f ca="1">'Translation Table'!H113</f>
        <v>NMVOC</v>
      </c>
      <c r="J441" s="116">
        <v>0.05</v>
      </c>
      <c r="K441" s="135" t="s">
        <v>1015</v>
      </c>
      <c r="L441" s="116">
        <f t="shared" si="10"/>
        <v>0.05</v>
      </c>
      <c r="M441" s="116" t="s">
        <v>1093</v>
      </c>
    </row>
    <row r="442" spans="2:17" ht="16.149999999999999" customHeight="1" x14ac:dyDescent="0.35">
      <c r="B442" s="332"/>
      <c r="C442" s="316"/>
      <c r="D442" s="316"/>
      <c r="E442" s="316"/>
      <c r="F442" s="317"/>
      <c r="G442" s="318"/>
      <c r="H442" s="222"/>
      <c r="I442" s="216" t="str">
        <f ca="1">'Translation Table'!H114</f>
        <v>SO2</v>
      </c>
      <c r="J442" s="116" t="s">
        <v>1015</v>
      </c>
      <c r="K442" s="135" t="s">
        <v>1015</v>
      </c>
      <c r="L442" s="116" t="str">
        <f t="shared" si="10"/>
        <v>NA</v>
      </c>
      <c r="M442" s="116" t="s">
        <v>1093</v>
      </c>
    </row>
    <row r="443" spans="2:17" ht="16.149999999999999" customHeight="1" x14ac:dyDescent="0.35">
      <c r="B443" s="332"/>
      <c r="C443" s="316"/>
      <c r="D443" s="316"/>
      <c r="E443" s="316"/>
      <c r="F443" s="317" t="str">
        <f ca="1">'Translation Table'!H246</f>
        <v>Kilometre pipeline</v>
      </c>
      <c r="G443" s="318"/>
      <c r="H443" s="217" t="str">
        <f>H444</f>
        <v>km</v>
      </c>
      <c r="I443" s="216" t="str">
        <f ca="1">'Translation Table'!H108</f>
        <v>CH4</v>
      </c>
      <c r="J443" s="116">
        <v>4.0999999999999996</v>
      </c>
      <c r="K443" s="135" t="s">
        <v>1015</v>
      </c>
      <c r="L443" s="116">
        <f t="shared" si="10"/>
        <v>4.0999999999999996</v>
      </c>
      <c r="M443" s="116" t="s">
        <v>1068</v>
      </c>
      <c r="Q443" s="133">
        <f>G443</f>
        <v>0</v>
      </c>
    </row>
    <row r="444" spans="2:17" ht="16.149999999999999" customHeight="1" x14ac:dyDescent="0.35">
      <c r="B444" s="332"/>
      <c r="C444" s="316"/>
      <c r="D444" s="316"/>
      <c r="E444" s="316"/>
      <c r="F444" s="317"/>
      <c r="G444" s="318"/>
      <c r="H444" s="230" t="s">
        <v>54</v>
      </c>
      <c r="I444" s="216" t="str">
        <f ca="1">'Translation Table'!H109</f>
        <v>CO2</v>
      </c>
      <c r="J444" s="116">
        <v>0.28000000000000003</v>
      </c>
      <c r="K444" s="135" t="s">
        <v>1015</v>
      </c>
      <c r="L444" s="116">
        <f t="shared" si="10"/>
        <v>0.28000000000000003</v>
      </c>
      <c r="M444" s="116" t="s">
        <v>1068</v>
      </c>
    </row>
    <row r="445" spans="2:17" ht="16.149999999999999" customHeight="1" x14ac:dyDescent="0.35">
      <c r="B445" s="332"/>
      <c r="C445" s="316"/>
      <c r="D445" s="316"/>
      <c r="E445" s="316"/>
      <c r="F445" s="317"/>
      <c r="G445" s="318"/>
      <c r="H445" s="230"/>
      <c r="I445" s="216" t="str">
        <f ca="1">'Translation Table'!H110</f>
        <v>N2O</v>
      </c>
      <c r="J445" s="116" t="s">
        <v>1015</v>
      </c>
      <c r="K445" s="135" t="s">
        <v>1015</v>
      </c>
      <c r="L445" s="116" t="str">
        <f t="shared" si="10"/>
        <v>NA</v>
      </c>
      <c r="M445" s="116" t="s">
        <v>1068</v>
      </c>
    </row>
    <row r="446" spans="2:17" ht="16.149999999999999" customHeight="1" x14ac:dyDescent="0.35">
      <c r="B446" s="332"/>
      <c r="C446" s="316"/>
      <c r="D446" s="316"/>
      <c r="E446" s="316"/>
      <c r="F446" s="317"/>
      <c r="G446" s="318"/>
      <c r="H446" s="230"/>
      <c r="I446" s="216" t="str">
        <f ca="1">'Translation Table'!H111</f>
        <v>NOx</v>
      </c>
      <c r="J446" s="116" t="s">
        <v>1015</v>
      </c>
      <c r="K446" s="135" t="s">
        <v>1015</v>
      </c>
      <c r="L446" s="116" t="str">
        <f t="shared" si="10"/>
        <v>NA</v>
      </c>
      <c r="M446" s="116" t="s">
        <v>1068</v>
      </c>
    </row>
    <row r="447" spans="2:17" ht="16.149999999999999" customHeight="1" x14ac:dyDescent="0.35">
      <c r="B447" s="332"/>
      <c r="C447" s="316"/>
      <c r="D447" s="316"/>
      <c r="E447" s="316"/>
      <c r="F447" s="317"/>
      <c r="G447" s="318"/>
      <c r="H447" s="230"/>
      <c r="I447" s="216" t="str">
        <f ca="1">'Translation Table'!H112</f>
        <v>CO</v>
      </c>
      <c r="J447" s="116" t="s">
        <v>1015</v>
      </c>
      <c r="K447" s="135" t="s">
        <v>1015</v>
      </c>
      <c r="L447" s="116" t="str">
        <f t="shared" si="10"/>
        <v>NA</v>
      </c>
      <c r="M447" s="116" t="s">
        <v>1068</v>
      </c>
    </row>
    <row r="448" spans="2:17" ht="16.149999999999999" customHeight="1" x14ac:dyDescent="0.35">
      <c r="B448" s="332"/>
      <c r="C448" s="316"/>
      <c r="D448" s="316"/>
      <c r="E448" s="316"/>
      <c r="F448" s="317"/>
      <c r="G448" s="318"/>
      <c r="H448" s="227"/>
      <c r="I448" s="216" t="str">
        <f ca="1">'Translation Table'!H113</f>
        <v>NMVOC</v>
      </c>
      <c r="J448" s="116">
        <v>0.06</v>
      </c>
      <c r="K448" s="135" t="s">
        <v>1015</v>
      </c>
      <c r="L448" s="116">
        <f t="shared" si="10"/>
        <v>0.06</v>
      </c>
      <c r="M448" s="116" t="s">
        <v>1068</v>
      </c>
    </row>
    <row r="449" spans="2:17" ht="16.149999999999999" customHeight="1" x14ac:dyDescent="0.35">
      <c r="B449" s="332"/>
      <c r="C449" s="316"/>
      <c r="D449" s="316"/>
      <c r="E449" s="316"/>
      <c r="F449" s="317"/>
      <c r="G449" s="318"/>
      <c r="H449" s="222"/>
      <c r="I449" s="216" t="str">
        <f ca="1">'Translation Table'!H114</f>
        <v>SO2</v>
      </c>
      <c r="J449" s="116" t="s">
        <v>1015</v>
      </c>
      <c r="K449" s="135" t="s">
        <v>1015</v>
      </c>
      <c r="L449" s="116" t="str">
        <f t="shared" si="10"/>
        <v>NA</v>
      </c>
      <c r="M449" s="116" t="s">
        <v>1068</v>
      </c>
    </row>
    <row r="450" spans="2:17" ht="16.149999999999999" customHeight="1" x14ac:dyDescent="0.35">
      <c r="B450" s="332"/>
      <c r="C450" s="316" t="str">
        <f ca="1">'Translation Table'!H169</f>
        <v>Transmission: Extensive LDAR, and around 50% or more of centrifugal compressors have dry seals</v>
      </c>
      <c r="D450" s="316"/>
      <c r="E450" s="316"/>
      <c r="F450" s="317" t="str">
        <f ca="1">'Translation Table'!H247</f>
        <v>Gas consumption</v>
      </c>
      <c r="G450" s="318"/>
      <c r="H450" s="223" t="str">
        <f ca="1">INDIRECT("'Lookup Tables'!B"&amp;78+P450) &amp;""</f>
        <v>E+06 m^3/y</v>
      </c>
      <c r="I450" s="216" t="str">
        <f ca="1">'Translation Table'!H108</f>
        <v>CH4</v>
      </c>
      <c r="J450" s="116">
        <v>1.29</v>
      </c>
      <c r="K450" s="135" t="s">
        <v>1015</v>
      </c>
      <c r="L450" s="116">
        <f t="shared" si="10"/>
        <v>1.29</v>
      </c>
      <c r="M450" s="116" t="s">
        <v>1093</v>
      </c>
      <c r="P450" s="133">
        <v>3</v>
      </c>
      <c r="Q450" s="133">
        <f ca="1">(INDIRECT("'Lookup Tables'!D"&amp;78+P450) &amp;"")*G450</f>
        <v>0</v>
      </c>
    </row>
    <row r="451" spans="2:17" ht="16.149999999999999" customHeight="1" x14ac:dyDescent="0.35">
      <c r="B451" s="332"/>
      <c r="C451" s="316"/>
      <c r="D451" s="316"/>
      <c r="E451" s="316"/>
      <c r="F451" s="317"/>
      <c r="G451" s="318"/>
      <c r="H451" s="224"/>
      <c r="I451" s="216" t="str">
        <f ca="1">'Translation Table'!H109</f>
        <v>CO2</v>
      </c>
      <c r="J451" s="116">
        <v>0.15</v>
      </c>
      <c r="K451" s="135" t="s">
        <v>1015</v>
      </c>
      <c r="L451" s="116">
        <f t="shared" si="10"/>
        <v>0.15</v>
      </c>
      <c r="M451" s="116" t="s">
        <v>1093</v>
      </c>
    </row>
    <row r="452" spans="2:17" ht="16.149999999999999" customHeight="1" x14ac:dyDescent="0.35">
      <c r="B452" s="332"/>
      <c r="C452" s="316"/>
      <c r="D452" s="316"/>
      <c r="E452" s="316"/>
      <c r="F452" s="317"/>
      <c r="G452" s="318"/>
      <c r="H452" s="224"/>
      <c r="I452" s="216" t="str">
        <f ca="1">'Translation Table'!H110</f>
        <v>N2O</v>
      </c>
      <c r="J452" s="116" t="s">
        <v>1015</v>
      </c>
      <c r="K452" s="135" t="s">
        <v>1015</v>
      </c>
      <c r="L452" s="116" t="str">
        <f t="shared" si="10"/>
        <v>NA</v>
      </c>
      <c r="M452" s="116" t="s">
        <v>1093</v>
      </c>
    </row>
    <row r="453" spans="2:17" ht="16.149999999999999" customHeight="1" x14ac:dyDescent="0.35">
      <c r="B453" s="332"/>
      <c r="C453" s="316"/>
      <c r="D453" s="316"/>
      <c r="E453" s="316"/>
      <c r="F453" s="317"/>
      <c r="G453" s="318"/>
      <c r="H453" s="224"/>
      <c r="I453" s="216" t="str">
        <f ca="1">'Translation Table'!H111</f>
        <v>NOx</v>
      </c>
      <c r="J453" s="116" t="s">
        <v>1015</v>
      </c>
      <c r="K453" s="135" t="s">
        <v>1015</v>
      </c>
      <c r="L453" s="116" t="str">
        <f t="shared" si="10"/>
        <v>NA</v>
      </c>
      <c r="M453" s="116" t="s">
        <v>1093</v>
      </c>
    </row>
    <row r="454" spans="2:17" ht="16.149999999999999" customHeight="1" x14ac:dyDescent="0.35">
      <c r="B454" s="332"/>
      <c r="C454" s="316"/>
      <c r="D454" s="316"/>
      <c r="E454" s="316"/>
      <c r="F454" s="317"/>
      <c r="G454" s="318"/>
      <c r="H454" s="224"/>
      <c r="I454" s="216" t="str">
        <f ca="1">'Translation Table'!H112</f>
        <v>CO</v>
      </c>
      <c r="J454" s="116" t="s">
        <v>1015</v>
      </c>
      <c r="K454" s="135" t="s">
        <v>1015</v>
      </c>
      <c r="L454" s="116" t="str">
        <f t="shared" si="10"/>
        <v>NA</v>
      </c>
      <c r="M454" s="116" t="s">
        <v>1093</v>
      </c>
    </row>
    <row r="455" spans="2:17" ht="16.149999999999999" customHeight="1" x14ac:dyDescent="0.35">
      <c r="B455" s="332"/>
      <c r="C455" s="316"/>
      <c r="D455" s="316"/>
      <c r="E455" s="316"/>
      <c r="F455" s="317"/>
      <c r="G455" s="318"/>
      <c r="H455" s="227"/>
      <c r="I455" s="216" t="str">
        <f ca="1">'Translation Table'!H113</f>
        <v>NMVOC</v>
      </c>
      <c r="J455" s="116">
        <v>0.02</v>
      </c>
      <c r="K455" s="135" t="s">
        <v>1015</v>
      </c>
      <c r="L455" s="116">
        <f t="shared" si="10"/>
        <v>0.02</v>
      </c>
      <c r="M455" s="116" t="s">
        <v>1093</v>
      </c>
    </row>
    <row r="456" spans="2:17" ht="16.149999999999999" customHeight="1" x14ac:dyDescent="0.35">
      <c r="B456" s="332"/>
      <c r="C456" s="316"/>
      <c r="D456" s="316"/>
      <c r="E456" s="316"/>
      <c r="F456" s="317"/>
      <c r="G456" s="318"/>
      <c r="H456" s="222"/>
      <c r="I456" s="216" t="str">
        <f ca="1">'Translation Table'!H114</f>
        <v>SO2</v>
      </c>
      <c r="J456" s="116" t="s">
        <v>1015</v>
      </c>
      <c r="K456" s="135" t="s">
        <v>1015</v>
      </c>
      <c r="L456" s="116" t="str">
        <f t="shared" si="10"/>
        <v>NA</v>
      </c>
      <c r="M456" s="116" t="s">
        <v>1093</v>
      </c>
    </row>
    <row r="457" spans="2:17" ht="16.149999999999999" customHeight="1" x14ac:dyDescent="0.35">
      <c r="B457" s="332"/>
      <c r="C457" s="316"/>
      <c r="D457" s="316"/>
      <c r="E457" s="316"/>
      <c r="F457" s="317" t="str">
        <f ca="1">'Translation Table'!H248</f>
        <v>Kilometre pipeline</v>
      </c>
      <c r="G457" s="318"/>
      <c r="H457" s="217" t="str">
        <f>H458</f>
        <v>km</v>
      </c>
      <c r="I457" s="216" t="str">
        <f ca="1">'Translation Table'!H108</f>
        <v>CH4</v>
      </c>
      <c r="J457" s="116">
        <v>2.08</v>
      </c>
      <c r="K457" s="135" t="s">
        <v>1015</v>
      </c>
      <c r="L457" s="116">
        <f t="shared" si="10"/>
        <v>2.08</v>
      </c>
      <c r="M457" s="116" t="s">
        <v>1068</v>
      </c>
      <c r="Q457" s="133">
        <f>G457</f>
        <v>0</v>
      </c>
    </row>
    <row r="458" spans="2:17" ht="16.149999999999999" customHeight="1" x14ac:dyDescent="0.35">
      <c r="B458" s="332"/>
      <c r="C458" s="316"/>
      <c r="D458" s="316"/>
      <c r="E458" s="316"/>
      <c r="F458" s="317"/>
      <c r="G458" s="318"/>
      <c r="H458" s="230" t="s">
        <v>54</v>
      </c>
      <c r="I458" s="216" t="str">
        <f ca="1">'Translation Table'!H109</f>
        <v>CO2</v>
      </c>
      <c r="J458" s="116">
        <v>0.25</v>
      </c>
      <c r="K458" s="135" t="s">
        <v>1015</v>
      </c>
      <c r="L458" s="116">
        <f t="shared" si="10"/>
        <v>0.25</v>
      </c>
      <c r="M458" s="116" t="s">
        <v>1068</v>
      </c>
    </row>
    <row r="459" spans="2:17" ht="16.149999999999999" customHeight="1" x14ac:dyDescent="0.35">
      <c r="B459" s="332"/>
      <c r="C459" s="316"/>
      <c r="D459" s="316"/>
      <c r="E459" s="316"/>
      <c r="F459" s="317"/>
      <c r="G459" s="318"/>
      <c r="H459" s="230"/>
      <c r="I459" s="216" t="str">
        <f ca="1">'Translation Table'!H110</f>
        <v>N2O</v>
      </c>
      <c r="J459" s="116" t="s">
        <v>1015</v>
      </c>
      <c r="K459" s="135" t="s">
        <v>1015</v>
      </c>
      <c r="L459" s="116" t="str">
        <f t="shared" si="10"/>
        <v>NA</v>
      </c>
      <c r="M459" s="116" t="s">
        <v>1068</v>
      </c>
    </row>
    <row r="460" spans="2:17" ht="16.149999999999999" customHeight="1" x14ac:dyDescent="0.35">
      <c r="B460" s="332"/>
      <c r="C460" s="316"/>
      <c r="D460" s="316"/>
      <c r="E460" s="316"/>
      <c r="F460" s="317"/>
      <c r="G460" s="318"/>
      <c r="H460" s="230"/>
      <c r="I460" s="216" t="str">
        <f ca="1">'Translation Table'!H111</f>
        <v>NOx</v>
      </c>
      <c r="J460" s="116" t="s">
        <v>1015</v>
      </c>
      <c r="K460" s="135" t="s">
        <v>1015</v>
      </c>
      <c r="L460" s="116" t="str">
        <f t="shared" si="10"/>
        <v>NA</v>
      </c>
      <c r="M460" s="116" t="s">
        <v>1068</v>
      </c>
    </row>
    <row r="461" spans="2:17" ht="16.149999999999999" customHeight="1" x14ac:dyDescent="0.35">
      <c r="B461" s="332"/>
      <c r="C461" s="316"/>
      <c r="D461" s="316"/>
      <c r="E461" s="316"/>
      <c r="F461" s="317"/>
      <c r="G461" s="318"/>
      <c r="H461" s="230"/>
      <c r="I461" s="216" t="str">
        <f ca="1">'Translation Table'!H112</f>
        <v>CO</v>
      </c>
      <c r="J461" s="116" t="s">
        <v>1015</v>
      </c>
      <c r="K461" s="135" t="s">
        <v>1015</v>
      </c>
      <c r="L461" s="116" t="str">
        <f t="shared" si="10"/>
        <v>NA</v>
      </c>
      <c r="M461" s="116" t="s">
        <v>1068</v>
      </c>
    </row>
    <row r="462" spans="2:17" ht="16.149999999999999" customHeight="1" x14ac:dyDescent="0.35">
      <c r="B462" s="332"/>
      <c r="C462" s="316"/>
      <c r="D462" s="316"/>
      <c r="E462" s="316"/>
      <c r="F462" s="317"/>
      <c r="G462" s="318"/>
      <c r="H462" s="227"/>
      <c r="I462" s="216" t="str">
        <f ca="1">'Translation Table'!H113</f>
        <v>NMVOC</v>
      </c>
      <c r="J462" s="116">
        <v>0.03</v>
      </c>
      <c r="K462" s="135" t="s">
        <v>1015</v>
      </c>
      <c r="L462" s="116">
        <f t="shared" si="10"/>
        <v>0.03</v>
      </c>
      <c r="M462" s="116" t="s">
        <v>1068</v>
      </c>
    </row>
    <row r="463" spans="2:17" ht="16.149999999999999" customHeight="1" x14ac:dyDescent="0.35">
      <c r="B463" s="332"/>
      <c r="C463" s="316"/>
      <c r="D463" s="316"/>
      <c r="E463" s="316"/>
      <c r="F463" s="317"/>
      <c r="G463" s="318"/>
      <c r="H463" s="222"/>
      <c r="I463" s="216" t="str">
        <f ca="1">'Translation Table'!H114</f>
        <v>SO2</v>
      </c>
      <c r="J463" s="116" t="s">
        <v>1015</v>
      </c>
      <c r="K463" s="135" t="s">
        <v>1015</v>
      </c>
      <c r="L463" s="116" t="str">
        <f t="shared" si="10"/>
        <v>NA</v>
      </c>
      <c r="M463" s="116" t="s">
        <v>1068</v>
      </c>
    </row>
    <row r="464" spans="2:17" ht="16.149999999999999" customHeight="1" x14ac:dyDescent="0.35">
      <c r="B464" s="332"/>
      <c r="C464" s="316" t="str">
        <f ca="1">'Translation Table'!H170</f>
        <v>Transmission All</v>
      </c>
      <c r="D464" s="316"/>
      <c r="E464" s="316"/>
      <c r="F464" s="317" t="str">
        <f ca="1">'Translation Table'!H249</f>
        <v>Gas consumption</v>
      </c>
      <c r="G464" s="318"/>
      <c r="H464" s="223" t="str">
        <f ca="1">INDIRECT("'Lookup Tables'!B"&amp;78+P464) &amp;""</f>
        <v>E+06 m^3/y</v>
      </c>
      <c r="I464" s="216" t="str">
        <f ca="1">'Translation Table'!H108</f>
        <v>CH4</v>
      </c>
      <c r="J464" s="116" t="s">
        <v>1015</v>
      </c>
      <c r="K464" s="135"/>
      <c r="L464" s="116" t="str">
        <f t="shared" si="10"/>
        <v>NA</v>
      </c>
      <c r="M464" s="116" t="s">
        <v>1093</v>
      </c>
      <c r="P464" s="133">
        <v>3</v>
      </c>
      <c r="Q464" s="133">
        <f ca="1">(INDIRECT("'Lookup Tables'!D"&amp;78+P464) &amp;"")*G464</f>
        <v>0</v>
      </c>
    </row>
    <row r="465" spans="2:17" ht="16.149999999999999" customHeight="1" x14ac:dyDescent="0.35">
      <c r="B465" s="332"/>
      <c r="C465" s="316"/>
      <c r="D465" s="316"/>
      <c r="E465" s="316"/>
      <c r="F465" s="317"/>
      <c r="G465" s="318"/>
      <c r="H465" s="224"/>
      <c r="I465" s="216" t="str">
        <f ca="1">'Translation Table'!H109</f>
        <v>CO2</v>
      </c>
      <c r="J465" s="116" t="s">
        <v>1015</v>
      </c>
      <c r="K465" s="135"/>
      <c r="L465" s="116" t="str">
        <f t="shared" si="10"/>
        <v>NA</v>
      </c>
      <c r="M465" s="116" t="s">
        <v>1093</v>
      </c>
    </row>
    <row r="466" spans="2:17" ht="16.149999999999999" customHeight="1" x14ac:dyDescent="0.35">
      <c r="B466" s="332"/>
      <c r="C466" s="316"/>
      <c r="D466" s="316"/>
      <c r="E466" s="316"/>
      <c r="F466" s="317"/>
      <c r="G466" s="318"/>
      <c r="H466" s="224"/>
      <c r="I466" s="216" t="str">
        <f ca="1">'Translation Table'!H110</f>
        <v>N2O</v>
      </c>
      <c r="J466" s="116" t="s">
        <v>1015</v>
      </c>
      <c r="K466" s="135"/>
      <c r="L466" s="116" t="str">
        <f t="shared" si="10"/>
        <v>NA</v>
      </c>
      <c r="M466" s="116" t="s">
        <v>1093</v>
      </c>
    </row>
    <row r="467" spans="2:17" ht="16.149999999999999" customHeight="1" x14ac:dyDescent="0.35">
      <c r="B467" s="332"/>
      <c r="C467" s="316"/>
      <c r="D467" s="316"/>
      <c r="E467" s="316"/>
      <c r="F467" s="317"/>
      <c r="G467" s="318"/>
      <c r="H467" s="224"/>
      <c r="I467" s="216" t="str">
        <f ca="1">'Translation Table'!H111</f>
        <v>NOx</v>
      </c>
      <c r="J467" s="116" t="s">
        <v>1015</v>
      </c>
      <c r="K467" s="135"/>
      <c r="L467" s="116" t="str">
        <f t="shared" si="10"/>
        <v>NA</v>
      </c>
      <c r="M467" s="116" t="s">
        <v>1093</v>
      </c>
    </row>
    <row r="468" spans="2:17" ht="16.149999999999999" customHeight="1" x14ac:dyDescent="0.35">
      <c r="B468" s="332"/>
      <c r="C468" s="316"/>
      <c r="D468" s="316"/>
      <c r="E468" s="316"/>
      <c r="F468" s="317"/>
      <c r="G468" s="318"/>
      <c r="H468" s="224"/>
      <c r="I468" s="216" t="str">
        <f ca="1">'Translation Table'!H112</f>
        <v>CO</v>
      </c>
      <c r="J468" s="116" t="s">
        <v>1015</v>
      </c>
      <c r="K468" s="135"/>
      <c r="L468" s="116" t="str">
        <f t="shared" si="10"/>
        <v>NA</v>
      </c>
      <c r="M468" s="116" t="s">
        <v>1093</v>
      </c>
    </row>
    <row r="469" spans="2:17" ht="16.149999999999999" customHeight="1" x14ac:dyDescent="0.35">
      <c r="B469" s="332"/>
      <c r="C469" s="316"/>
      <c r="D469" s="316"/>
      <c r="E469" s="316"/>
      <c r="F469" s="317"/>
      <c r="G469" s="318"/>
      <c r="H469" s="227"/>
      <c r="I469" s="216" t="str">
        <f ca="1">'Translation Table'!H113</f>
        <v>NMVOC</v>
      </c>
      <c r="J469" s="116" t="s">
        <v>1015</v>
      </c>
      <c r="K469" s="135"/>
      <c r="L469" s="116" t="str">
        <f t="shared" si="10"/>
        <v>NA</v>
      </c>
      <c r="M469" s="116" t="s">
        <v>1093</v>
      </c>
    </row>
    <row r="470" spans="2:17" ht="16.149999999999999" customHeight="1" x14ac:dyDescent="0.35">
      <c r="B470" s="332"/>
      <c r="C470" s="316"/>
      <c r="D470" s="316"/>
      <c r="E470" s="316"/>
      <c r="F470" s="317"/>
      <c r="G470" s="318"/>
      <c r="H470" s="222"/>
      <c r="I470" s="216" t="str">
        <f ca="1">'Translation Table'!H114</f>
        <v>SO2</v>
      </c>
      <c r="J470" s="116" t="s">
        <v>1015</v>
      </c>
      <c r="K470" s="135"/>
      <c r="L470" s="116" t="str">
        <f t="shared" si="10"/>
        <v>NA</v>
      </c>
      <c r="M470" s="116" t="s">
        <v>1093</v>
      </c>
    </row>
    <row r="471" spans="2:17" ht="16.149999999999999" customHeight="1" x14ac:dyDescent="0.35">
      <c r="B471" s="332"/>
      <c r="C471" s="316"/>
      <c r="D471" s="316"/>
      <c r="E471" s="316"/>
      <c r="F471" s="317" t="str">
        <f ca="1">'Translation Table'!H250</f>
        <v>Kilometre pipeline</v>
      </c>
      <c r="G471" s="318"/>
      <c r="H471" s="217" t="str">
        <f>H472</f>
        <v>km</v>
      </c>
      <c r="I471" s="216" t="str">
        <f ca="1">'Translation Table'!H108</f>
        <v>CH4</v>
      </c>
      <c r="J471" s="116" t="s">
        <v>1015</v>
      </c>
      <c r="K471" s="135"/>
      <c r="L471" s="116" t="str">
        <f t="shared" ref="L471:L534" si="11">IF(OR(K471="",K471="NA"),J471,K471)</f>
        <v>NA</v>
      </c>
      <c r="M471" s="116" t="s">
        <v>1068</v>
      </c>
      <c r="Q471" s="133">
        <f>G471</f>
        <v>0</v>
      </c>
    </row>
    <row r="472" spans="2:17" ht="16.149999999999999" customHeight="1" x14ac:dyDescent="0.35">
      <c r="B472" s="332"/>
      <c r="C472" s="316"/>
      <c r="D472" s="316"/>
      <c r="E472" s="316"/>
      <c r="F472" s="317"/>
      <c r="G472" s="318"/>
      <c r="H472" s="230" t="s">
        <v>54</v>
      </c>
      <c r="I472" s="216" t="str">
        <f ca="1">'Translation Table'!H109</f>
        <v>CO2</v>
      </c>
      <c r="J472" s="116" t="s">
        <v>1015</v>
      </c>
      <c r="K472" s="135"/>
      <c r="L472" s="116" t="str">
        <f t="shared" si="11"/>
        <v>NA</v>
      </c>
      <c r="M472" s="116" t="s">
        <v>1068</v>
      </c>
    </row>
    <row r="473" spans="2:17" ht="16.149999999999999" customHeight="1" x14ac:dyDescent="0.35">
      <c r="B473" s="332"/>
      <c r="C473" s="316"/>
      <c r="D473" s="316"/>
      <c r="E473" s="316"/>
      <c r="F473" s="317"/>
      <c r="G473" s="318"/>
      <c r="H473" s="230"/>
      <c r="I473" s="216" t="str">
        <f ca="1">'Translation Table'!H110</f>
        <v>N2O</v>
      </c>
      <c r="J473" s="116" t="s">
        <v>1015</v>
      </c>
      <c r="K473" s="135"/>
      <c r="L473" s="116" t="str">
        <f t="shared" si="11"/>
        <v>NA</v>
      </c>
      <c r="M473" s="116" t="s">
        <v>1068</v>
      </c>
    </row>
    <row r="474" spans="2:17" ht="16.149999999999999" customHeight="1" x14ac:dyDescent="0.35">
      <c r="B474" s="332"/>
      <c r="C474" s="316"/>
      <c r="D474" s="316"/>
      <c r="E474" s="316"/>
      <c r="F474" s="317"/>
      <c r="G474" s="318"/>
      <c r="H474" s="230"/>
      <c r="I474" s="216" t="str">
        <f ca="1">'Translation Table'!H111</f>
        <v>NOx</v>
      </c>
      <c r="J474" s="116" t="s">
        <v>1015</v>
      </c>
      <c r="K474" s="135"/>
      <c r="L474" s="116" t="str">
        <f t="shared" si="11"/>
        <v>NA</v>
      </c>
      <c r="M474" s="116" t="s">
        <v>1068</v>
      </c>
    </row>
    <row r="475" spans="2:17" ht="16.149999999999999" customHeight="1" x14ac:dyDescent="0.35">
      <c r="B475" s="332"/>
      <c r="C475" s="316"/>
      <c r="D475" s="316"/>
      <c r="E475" s="316"/>
      <c r="F475" s="317"/>
      <c r="G475" s="318"/>
      <c r="H475" s="230"/>
      <c r="I475" s="216" t="str">
        <f ca="1">'Translation Table'!H112</f>
        <v>CO</v>
      </c>
      <c r="J475" s="116" t="s">
        <v>1015</v>
      </c>
      <c r="K475" s="135"/>
      <c r="L475" s="116" t="str">
        <f t="shared" si="11"/>
        <v>NA</v>
      </c>
      <c r="M475" s="116" t="s">
        <v>1068</v>
      </c>
    </row>
    <row r="476" spans="2:17" ht="16.149999999999999" customHeight="1" x14ac:dyDescent="0.35">
      <c r="B476" s="332"/>
      <c r="C476" s="316"/>
      <c r="D476" s="316"/>
      <c r="E476" s="316"/>
      <c r="F476" s="317"/>
      <c r="G476" s="318"/>
      <c r="H476" s="227"/>
      <c r="I476" s="216" t="str">
        <f ca="1">'Translation Table'!H113</f>
        <v>NMVOC</v>
      </c>
      <c r="J476" s="116" t="s">
        <v>1015</v>
      </c>
      <c r="K476" s="135"/>
      <c r="L476" s="116" t="str">
        <f t="shared" si="11"/>
        <v>NA</v>
      </c>
      <c r="M476" s="116" t="s">
        <v>1068</v>
      </c>
    </row>
    <row r="477" spans="2:17" ht="16.149999999999999" customHeight="1" x14ac:dyDescent="0.35">
      <c r="B477" s="332"/>
      <c r="C477" s="316"/>
      <c r="D477" s="316"/>
      <c r="E477" s="316"/>
      <c r="F477" s="317"/>
      <c r="G477" s="318"/>
      <c r="H477" s="222"/>
      <c r="I477" s="216" t="str">
        <f ca="1">'Translation Table'!H114</f>
        <v>SO2</v>
      </c>
      <c r="J477" s="116" t="s">
        <v>1015</v>
      </c>
      <c r="K477" s="135"/>
      <c r="L477" s="116" t="str">
        <f t="shared" si="11"/>
        <v>NA</v>
      </c>
      <c r="M477" s="116" t="s">
        <v>1068</v>
      </c>
    </row>
    <row r="478" spans="2:17" ht="16.149999999999999" customHeight="1" x14ac:dyDescent="0.35">
      <c r="B478" s="332"/>
      <c r="C478" s="316" t="str">
        <f ca="1">'Translation Table'!H171</f>
        <v>Storage: Limited LDAR or most activities occurring with higher- emitting technologies and practices</v>
      </c>
      <c r="D478" s="316"/>
      <c r="E478" s="316"/>
      <c r="F478" s="317" t="str">
        <f ca="1">'Translation Table'!H251</f>
        <v>Gas consumption</v>
      </c>
      <c r="G478" s="318"/>
      <c r="H478" s="223" t="str">
        <f ca="1">INDIRECT("'Lookup Tables'!B"&amp;78+P478) &amp;""</f>
        <v>E+06 m^3/y</v>
      </c>
      <c r="I478" s="216" t="str">
        <f ca="1">'Translation Table'!H108</f>
        <v>CH4</v>
      </c>
      <c r="J478" s="116">
        <v>0.67</v>
      </c>
      <c r="K478" s="135"/>
      <c r="L478" s="116">
        <f t="shared" si="11"/>
        <v>0.67</v>
      </c>
      <c r="M478" s="116" t="s">
        <v>1093</v>
      </c>
      <c r="P478" s="133">
        <v>3</v>
      </c>
      <c r="Q478" s="133">
        <f ca="1">(INDIRECT("'Lookup Tables'!D"&amp;78+P478) &amp;"")*G478</f>
        <v>0</v>
      </c>
    </row>
    <row r="479" spans="2:17" ht="16.149999999999999" customHeight="1" x14ac:dyDescent="0.35">
      <c r="B479" s="332"/>
      <c r="C479" s="316"/>
      <c r="D479" s="316"/>
      <c r="E479" s="316"/>
      <c r="F479" s="317"/>
      <c r="G479" s="318"/>
      <c r="H479" s="224"/>
      <c r="I479" s="216" t="str">
        <f ca="1">'Translation Table'!H109</f>
        <v>CO2</v>
      </c>
      <c r="J479" s="116">
        <v>0.06</v>
      </c>
      <c r="K479" s="135"/>
      <c r="L479" s="116">
        <f t="shared" si="11"/>
        <v>0.06</v>
      </c>
      <c r="M479" s="116" t="s">
        <v>1093</v>
      </c>
    </row>
    <row r="480" spans="2:17" ht="16.149999999999999" customHeight="1" x14ac:dyDescent="0.35">
      <c r="B480" s="332"/>
      <c r="C480" s="316"/>
      <c r="D480" s="316"/>
      <c r="E480" s="316"/>
      <c r="F480" s="317"/>
      <c r="G480" s="318"/>
      <c r="H480" s="224"/>
      <c r="I480" s="216" t="str">
        <f ca="1">'Translation Table'!H110</f>
        <v>N2O</v>
      </c>
      <c r="J480" s="116" t="s">
        <v>1015</v>
      </c>
      <c r="K480" s="135"/>
      <c r="L480" s="116" t="str">
        <f t="shared" si="11"/>
        <v>NA</v>
      </c>
      <c r="M480" s="116" t="s">
        <v>1093</v>
      </c>
    </row>
    <row r="481" spans="2:17" ht="16.149999999999999" customHeight="1" x14ac:dyDescent="0.35">
      <c r="B481" s="332"/>
      <c r="C481" s="316"/>
      <c r="D481" s="316"/>
      <c r="E481" s="316"/>
      <c r="F481" s="317"/>
      <c r="G481" s="318"/>
      <c r="H481" s="224"/>
      <c r="I481" s="216" t="str">
        <f ca="1">'Translation Table'!H111</f>
        <v>NOx</v>
      </c>
      <c r="J481" s="116" t="s">
        <v>1015</v>
      </c>
      <c r="K481" s="135"/>
      <c r="L481" s="116" t="str">
        <f t="shared" si="11"/>
        <v>NA</v>
      </c>
      <c r="M481" s="116" t="s">
        <v>1093</v>
      </c>
    </row>
    <row r="482" spans="2:17" ht="16.149999999999999" customHeight="1" x14ac:dyDescent="0.35">
      <c r="B482" s="332"/>
      <c r="C482" s="316"/>
      <c r="D482" s="316"/>
      <c r="E482" s="316"/>
      <c r="F482" s="317"/>
      <c r="G482" s="318"/>
      <c r="H482" s="224"/>
      <c r="I482" s="216" t="str">
        <f ca="1">'Translation Table'!H112</f>
        <v>CO</v>
      </c>
      <c r="J482" s="116" t="s">
        <v>1015</v>
      </c>
      <c r="K482" s="135"/>
      <c r="L482" s="116" t="str">
        <f t="shared" si="11"/>
        <v>NA</v>
      </c>
      <c r="M482" s="116" t="s">
        <v>1093</v>
      </c>
    </row>
    <row r="483" spans="2:17" ht="16.149999999999999" customHeight="1" x14ac:dyDescent="0.35">
      <c r="B483" s="332"/>
      <c r="C483" s="316"/>
      <c r="D483" s="316"/>
      <c r="E483" s="316"/>
      <c r="F483" s="317"/>
      <c r="G483" s="318"/>
      <c r="H483" s="227"/>
      <c r="I483" s="216" t="str">
        <f ca="1">'Translation Table'!H113</f>
        <v>NMVOC</v>
      </c>
      <c r="J483" s="116">
        <v>9.4000000000000004E-3</v>
      </c>
      <c r="K483" s="135"/>
      <c r="L483" s="116">
        <f t="shared" si="11"/>
        <v>9.4000000000000004E-3</v>
      </c>
      <c r="M483" s="116" t="s">
        <v>1093</v>
      </c>
    </row>
    <row r="484" spans="2:17" ht="16.149999999999999" customHeight="1" x14ac:dyDescent="0.35">
      <c r="B484" s="332"/>
      <c r="C484" s="316"/>
      <c r="D484" s="316"/>
      <c r="E484" s="316"/>
      <c r="F484" s="317"/>
      <c r="G484" s="318"/>
      <c r="H484" s="222"/>
      <c r="I484" s="216" t="str">
        <f ca="1">'Translation Table'!H114</f>
        <v>SO2</v>
      </c>
      <c r="J484" s="116" t="s">
        <v>1015</v>
      </c>
      <c r="K484" s="135"/>
      <c r="L484" s="116" t="str">
        <f t="shared" si="11"/>
        <v>NA</v>
      </c>
      <c r="M484" s="116" t="s">
        <v>1093</v>
      </c>
    </row>
    <row r="485" spans="2:17" ht="16.149999999999999" customHeight="1" x14ac:dyDescent="0.35">
      <c r="B485" s="332"/>
      <c r="C485" s="316" t="str">
        <f ca="1">'Translation Table'!H172</f>
        <v>Storage: Extensive LDAR and lower-emitting technologies and practices</v>
      </c>
      <c r="D485" s="316"/>
      <c r="E485" s="316"/>
      <c r="F485" s="317" t="str">
        <f ca="1">'Translation Table'!H252</f>
        <v>Gas consumption</v>
      </c>
      <c r="G485" s="318"/>
      <c r="H485" s="223" t="str">
        <f ca="1">INDIRECT("'Lookup Tables'!B"&amp;78+P485) &amp;""</f>
        <v>E+06 m^3/y</v>
      </c>
      <c r="I485" s="216" t="str">
        <f ca="1">'Translation Table'!H108</f>
        <v>CH4</v>
      </c>
      <c r="J485" s="116">
        <v>0.28999999999999998</v>
      </c>
      <c r="K485" s="135"/>
      <c r="L485" s="116">
        <f t="shared" si="11"/>
        <v>0.28999999999999998</v>
      </c>
      <c r="M485" s="116" t="s">
        <v>1093</v>
      </c>
      <c r="P485" s="133">
        <v>3</v>
      </c>
      <c r="Q485" s="133">
        <f ca="1">(INDIRECT("'Lookup Tables'!D"&amp;78+P485) &amp;"")*G485</f>
        <v>0</v>
      </c>
    </row>
    <row r="486" spans="2:17" ht="16.149999999999999" customHeight="1" x14ac:dyDescent="0.35">
      <c r="B486" s="332"/>
      <c r="C486" s="316"/>
      <c r="D486" s="316"/>
      <c r="E486" s="316"/>
      <c r="F486" s="317"/>
      <c r="G486" s="318"/>
      <c r="H486" s="224"/>
      <c r="I486" s="216" t="str">
        <f ca="1">'Translation Table'!H109</f>
        <v>CO2</v>
      </c>
      <c r="J486" s="116">
        <v>0.04</v>
      </c>
      <c r="K486" s="135"/>
      <c r="L486" s="116">
        <f t="shared" si="11"/>
        <v>0.04</v>
      </c>
      <c r="M486" s="116" t="s">
        <v>1093</v>
      </c>
    </row>
    <row r="487" spans="2:17" ht="16.149999999999999" customHeight="1" x14ac:dyDescent="0.35">
      <c r="B487" s="332"/>
      <c r="C487" s="316"/>
      <c r="D487" s="316"/>
      <c r="E487" s="316"/>
      <c r="F487" s="317"/>
      <c r="G487" s="318"/>
      <c r="H487" s="224"/>
      <c r="I487" s="216" t="str">
        <f ca="1">'Translation Table'!H110</f>
        <v>N2O</v>
      </c>
      <c r="J487" s="116" t="s">
        <v>1015</v>
      </c>
      <c r="K487" s="135"/>
      <c r="L487" s="116" t="str">
        <f t="shared" si="11"/>
        <v>NA</v>
      </c>
      <c r="M487" s="116" t="s">
        <v>1093</v>
      </c>
    </row>
    <row r="488" spans="2:17" ht="16.149999999999999" customHeight="1" x14ac:dyDescent="0.35">
      <c r="B488" s="332"/>
      <c r="C488" s="316"/>
      <c r="D488" s="316"/>
      <c r="E488" s="316"/>
      <c r="F488" s="317"/>
      <c r="G488" s="318"/>
      <c r="H488" s="224"/>
      <c r="I488" s="216" t="str">
        <f ca="1">'Translation Table'!H111</f>
        <v>NOx</v>
      </c>
      <c r="J488" s="116" t="s">
        <v>1015</v>
      </c>
      <c r="K488" s="135"/>
      <c r="L488" s="116" t="str">
        <f t="shared" si="11"/>
        <v>NA</v>
      </c>
      <c r="M488" s="116" t="s">
        <v>1093</v>
      </c>
    </row>
    <row r="489" spans="2:17" ht="16.149999999999999" customHeight="1" x14ac:dyDescent="0.35">
      <c r="B489" s="332"/>
      <c r="C489" s="316"/>
      <c r="D489" s="316"/>
      <c r="E489" s="316"/>
      <c r="F489" s="317"/>
      <c r="G489" s="318"/>
      <c r="H489" s="224"/>
      <c r="I489" s="216" t="str">
        <f ca="1">'Translation Table'!H112</f>
        <v>CO</v>
      </c>
      <c r="J489" s="116" t="s">
        <v>1015</v>
      </c>
      <c r="K489" s="135"/>
      <c r="L489" s="116" t="str">
        <f t="shared" si="11"/>
        <v>NA</v>
      </c>
      <c r="M489" s="116" t="s">
        <v>1093</v>
      </c>
    </row>
    <row r="490" spans="2:17" ht="16.149999999999999" customHeight="1" x14ac:dyDescent="0.35">
      <c r="B490" s="332"/>
      <c r="C490" s="316"/>
      <c r="D490" s="316"/>
      <c r="E490" s="316"/>
      <c r="F490" s="317"/>
      <c r="G490" s="318"/>
      <c r="H490" s="227"/>
      <c r="I490" s="216" t="str">
        <f ca="1">'Translation Table'!H113</f>
        <v>NMVOC</v>
      </c>
      <c r="J490" s="116">
        <v>4.0000000000000001E-3</v>
      </c>
      <c r="K490" s="135"/>
      <c r="L490" s="116">
        <f t="shared" si="11"/>
        <v>4.0000000000000001E-3</v>
      </c>
      <c r="M490" s="116" t="s">
        <v>1093</v>
      </c>
    </row>
    <row r="491" spans="2:17" ht="16.149999999999999" customHeight="1" x14ac:dyDescent="0.35">
      <c r="B491" s="332"/>
      <c r="C491" s="316"/>
      <c r="D491" s="316"/>
      <c r="E491" s="316"/>
      <c r="F491" s="317"/>
      <c r="G491" s="318"/>
      <c r="H491" s="222"/>
      <c r="I491" s="216" t="str">
        <f ca="1">'Translation Table'!H114</f>
        <v>SO2</v>
      </c>
      <c r="J491" s="116" t="s">
        <v>1015</v>
      </c>
      <c r="K491" s="135"/>
      <c r="L491" s="116" t="str">
        <f t="shared" si="11"/>
        <v>NA</v>
      </c>
      <c r="M491" s="116" t="s">
        <v>1093</v>
      </c>
    </row>
    <row r="492" spans="2:17" ht="16.149999999999999" customHeight="1" x14ac:dyDescent="0.35">
      <c r="B492" s="332"/>
      <c r="C492" s="316" t="str">
        <f ca="1">'Translation Table'!H173</f>
        <v>LNG: Import/Export</v>
      </c>
      <c r="D492" s="316"/>
      <c r="E492" s="316"/>
      <c r="F492" s="317" t="str">
        <f ca="1">'Translation Table'!H253</f>
        <v>Station</v>
      </c>
      <c r="G492" s="318"/>
      <c r="H492" s="217" t="str">
        <f ca="1">H493</f>
        <v>Station Count</v>
      </c>
      <c r="I492" s="216" t="str">
        <f ca="1">'Translation Table'!H108</f>
        <v>CH4</v>
      </c>
      <c r="J492" s="116">
        <v>1660</v>
      </c>
      <c r="K492" s="135"/>
      <c r="L492" s="116">
        <f t="shared" si="11"/>
        <v>1660</v>
      </c>
      <c r="M492" s="116" t="s">
        <v>1136</v>
      </c>
      <c r="Q492" s="133">
        <f>G492</f>
        <v>0</v>
      </c>
    </row>
    <row r="493" spans="2:17" ht="16.149999999999999" customHeight="1" x14ac:dyDescent="0.35">
      <c r="B493" s="332"/>
      <c r="C493" s="316"/>
      <c r="D493" s="316"/>
      <c r="E493" s="316"/>
      <c r="F493" s="317"/>
      <c r="G493" s="318"/>
      <c r="H493" s="230" t="str">
        <f ca="1">'Translation Table'!H270</f>
        <v>Station Count</v>
      </c>
      <c r="I493" s="216" t="str">
        <f ca="1">'Translation Table'!H109</f>
        <v>CO2</v>
      </c>
      <c r="J493" s="116">
        <v>14687</v>
      </c>
      <c r="K493" s="135"/>
      <c r="L493" s="116">
        <f t="shared" si="11"/>
        <v>14687</v>
      </c>
      <c r="M493" s="116" t="s">
        <v>1136</v>
      </c>
    </row>
    <row r="494" spans="2:17" ht="16.149999999999999" customHeight="1" x14ac:dyDescent="0.35">
      <c r="B494" s="332"/>
      <c r="C494" s="316"/>
      <c r="D494" s="316"/>
      <c r="E494" s="316"/>
      <c r="F494" s="317"/>
      <c r="G494" s="318"/>
      <c r="H494" s="230"/>
      <c r="I494" s="216" t="str">
        <f ca="1">'Translation Table'!H110</f>
        <v>N2O</v>
      </c>
      <c r="J494" s="116" t="s">
        <v>1015</v>
      </c>
      <c r="K494" s="135"/>
      <c r="L494" s="116" t="str">
        <f t="shared" si="11"/>
        <v>NA</v>
      </c>
      <c r="M494" s="116" t="s">
        <v>1136</v>
      </c>
    </row>
    <row r="495" spans="2:17" ht="16.149999999999999" customHeight="1" x14ac:dyDescent="0.35">
      <c r="B495" s="332"/>
      <c r="C495" s="316"/>
      <c r="D495" s="316"/>
      <c r="E495" s="316"/>
      <c r="F495" s="317"/>
      <c r="G495" s="318"/>
      <c r="H495" s="230"/>
      <c r="I495" s="216" t="str">
        <f ca="1">'Translation Table'!H111</f>
        <v>NOx</v>
      </c>
      <c r="J495" s="116" t="s">
        <v>1015</v>
      </c>
      <c r="K495" s="135"/>
      <c r="L495" s="116" t="str">
        <f t="shared" si="11"/>
        <v>NA</v>
      </c>
      <c r="M495" s="116" t="s">
        <v>1136</v>
      </c>
    </row>
    <row r="496" spans="2:17" ht="16.149999999999999" customHeight="1" x14ac:dyDescent="0.35">
      <c r="B496" s="332"/>
      <c r="C496" s="316"/>
      <c r="D496" s="316"/>
      <c r="E496" s="316"/>
      <c r="F496" s="317"/>
      <c r="G496" s="318"/>
      <c r="H496" s="230"/>
      <c r="I496" s="216" t="str">
        <f ca="1">'Translation Table'!H112</f>
        <v>CO</v>
      </c>
      <c r="J496" s="116" t="s">
        <v>1015</v>
      </c>
      <c r="K496" s="135"/>
      <c r="L496" s="116" t="str">
        <f t="shared" si="11"/>
        <v>NA</v>
      </c>
      <c r="M496" s="116" t="s">
        <v>1136</v>
      </c>
    </row>
    <row r="497" spans="2:17" ht="16.149999999999999" customHeight="1" x14ac:dyDescent="0.35">
      <c r="B497" s="332"/>
      <c r="C497" s="316"/>
      <c r="D497" s="316"/>
      <c r="E497" s="316"/>
      <c r="F497" s="317"/>
      <c r="G497" s="318"/>
      <c r="H497" s="227"/>
      <c r="I497" s="216" t="str">
        <f ca="1">'Translation Table'!H113</f>
        <v>NMVOC</v>
      </c>
      <c r="J497" s="116" t="s">
        <v>1015</v>
      </c>
      <c r="K497" s="135"/>
      <c r="L497" s="116" t="str">
        <f t="shared" si="11"/>
        <v>NA</v>
      </c>
      <c r="M497" s="116" t="s">
        <v>1136</v>
      </c>
    </row>
    <row r="498" spans="2:17" ht="16.149999999999999" customHeight="1" x14ac:dyDescent="0.35">
      <c r="B498" s="332"/>
      <c r="C498" s="316"/>
      <c r="D498" s="316"/>
      <c r="E498" s="316"/>
      <c r="F498" s="317"/>
      <c r="G498" s="318"/>
      <c r="H498" s="222"/>
      <c r="I498" s="216" t="str">
        <f ca="1">'Translation Table'!H114</f>
        <v>SO2</v>
      </c>
      <c r="J498" s="116" t="s">
        <v>1015</v>
      </c>
      <c r="K498" s="135"/>
      <c r="L498" s="116" t="str">
        <f t="shared" si="11"/>
        <v>NA</v>
      </c>
      <c r="M498" s="116" t="s">
        <v>1136</v>
      </c>
    </row>
    <row r="499" spans="2:17" ht="16.149999999999999" customHeight="1" x14ac:dyDescent="0.35">
      <c r="B499" s="332"/>
      <c r="C499" s="316" t="str">
        <f ca="1">'Translation Table'!H174</f>
        <v>LNG: Storage</v>
      </c>
      <c r="D499" s="316"/>
      <c r="E499" s="316"/>
      <c r="F499" s="317" t="str">
        <f ca="1">'Translation Table'!H254</f>
        <v>Station</v>
      </c>
      <c r="G499" s="318"/>
      <c r="H499" s="217" t="str">
        <f ca="1">H500</f>
        <v>Station Count</v>
      </c>
      <c r="I499" s="216" t="str">
        <f ca="1">'Translation Table'!H108</f>
        <v>CH4</v>
      </c>
      <c r="J499" s="116">
        <v>22</v>
      </c>
      <c r="K499" s="135"/>
      <c r="L499" s="116">
        <f t="shared" si="11"/>
        <v>22</v>
      </c>
      <c r="M499" s="116" t="s">
        <v>1136</v>
      </c>
      <c r="Q499" s="133">
        <f>G499</f>
        <v>0</v>
      </c>
    </row>
    <row r="500" spans="2:17" ht="16.149999999999999" customHeight="1" x14ac:dyDescent="0.35">
      <c r="B500" s="332"/>
      <c r="C500" s="316"/>
      <c r="D500" s="316"/>
      <c r="E500" s="316"/>
      <c r="F500" s="317"/>
      <c r="G500" s="318"/>
      <c r="H500" s="230" t="str">
        <f ca="1">'Translation Table'!H270</f>
        <v>Station Count</v>
      </c>
      <c r="I500" s="216" t="str">
        <f ca="1">'Translation Table'!H109</f>
        <v>CO2</v>
      </c>
      <c r="J500" s="116">
        <v>277</v>
      </c>
      <c r="K500" s="135"/>
      <c r="L500" s="116">
        <f t="shared" si="11"/>
        <v>277</v>
      </c>
      <c r="M500" s="116" t="s">
        <v>1136</v>
      </c>
    </row>
    <row r="501" spans="2:17" ht="16.149999999999999" customHeight="1" x14ac:dyDescent="0.35">
      <c r="B501" s="332"/>
      <c r="C501" s="316"/>
      <c r="D501" s="316"/>
      <c r="E501" s="316"/>
      <c r="F501" s="317"/>
      <c r="G501" s="318"/>
      <c r="H501" s="230"/>
      <c r="I501" s="216" t="str">
        <f ca="1">'Translation Table'!H110</f>
        <v>N2O</v>
      </c>
      <c r="J501" s="116" t="s">
        <v>1015</v>
      </c>
      <c r="K501" s="135"/>
      <c r="L501" s="116" t="str">
        <f t="shared" si="11"/>
        <v>NA</v>
      </c>
      <c r="M501" s="116" t="s">
        <v>1136</v>
      </c>
    </row>
    <row r="502" spans="2:17" ht="16.149999999999999" customHeight="1" x14ac:dyDescent="0.35">
      <c r="B502" s="332"/>
      <c r="C502" s="316"/>
      <c r="D502" s="316"/>
      <c r="E502" s="316"/>
      <c r="F502" s="317"/>
      <c r="G502" s="318"/>
      <c r="H502" s="230"/>
      <c r="I502" s="216" t="str">
        <f ca="1">'Translation Table'!H111</f>
        <v>NOx</v>
      </c>
      <c r="J502" s="116" t="s">
        <v>1015</v>
      </c>
      <c r="K502" s="135"/>
      <c r="L502" s="116" t="str">
        <f t="shared" si="11"/>
        <v>NA</v>
      </c>
      <c r="M502" s="116" t="s">
        <v>1136</v>
      </c>
    </row>
    <row r="503" spans="2:17" ht="16.149999999999999" customHeight="1" x14ac:dyDescent="0.35">
      <c r="B503" s="332"/>
      <c r="C503" s="316"/>
      <c r="D503" s="316"/>
      <c r="E503" s="316"/>
      <c r="F503" s="317"/>
      <c r="G503" s="318"/>
      <c r="H503" s="230"/>
      <c r="I503" s="216" t="str">
        <f ca="1">'Translation Table'!H112</f>
        <v>CO</v>
      </c>
      <c r="J503" s="116" t="s">
        <v>1015</v>
      </c>
      <c r="K503" s="135"/>
      <c r="L503" s="116" t="str">
        <f t="shared" si="11"/>
        <v>NA</v>
      </c>
      <c r="M503" s="116" t="s">
        <v>1136</v>
      </c>
    </row>
    <row r="504" spans="2:17" ht="16.149999999999999" customHeight="1" x14ac:dyDescent="0.35">
      <c r="B504" s="332"/>
      <c r="C504" s="316"/>
      <c r="D504" s="316"/>
      <c r="E504" s="316"/>
      <c r="F504" s="317"/>
      <c r="G504" s="318"/>
      <c r="H504" s="227"/>
      <c r="I504" s="216" t="str">
        <f ca="1">'Translation Table'!H113</f>
        <v>NMVOC</v>
      </c>
      <c r="J504" s="116" t="s">
        <v>1015</v>
      </c>
      <c r="K504" s="135"/>
      <c r="L504" s="116" t="str">
        <f t="shared" si="11"/>
        <v>NA</v>
      </c>
      <c r="M504" s="116" t="s">
        <v>1136</v>
      </c>
    </row>
    <row r="505" spans="2:17" ht="16.149999999999999" customHeight="1" x14ac:dyDescent="0.35">
      <c r="B505" s="332"/>
      <c r="C505" s="316"/>
      <c r="D505" s="316"/>
      <c r="E505" s="316"/>
      <c r="F505" s="317"/>
      <c r="G505" s="318"/>
      <c r="H505" s="222"/>
      <c r="I505" s="216" t="str">
        <f ca="1">'Translation Table'!H114</f>
        <v>SO2</v>
      </c>
      <c r="J505" s="116" t="s">
        <v>1015</v>
      </c>
      <c r="K505" s="135"/>
      <c r="L505" s="116" t="str">
        <f t="shared" si="11"/>
        <v>NA</v>
      </c>
      <c r="M505" s="116" t="s">
        <v>1136</v>
      </c>
    </row>
    <row r="506" spans="2:17" ht="16.149999999999999" customHeight="1" x14ac:dyDescent="0.35">
      <c r="B506" s="332" t="str">
        <f ca="1">'Translation Table'!H126</f>
        <v>Gas Distribution</v>
      </c>
      <c r="C506" s="316" t="str">
        <f ca="1">'Translation Table'!H175</f>
        <v>Less than 50% plastic pipelines, or limited or no leak detection and repair programs</v>
      </c>
      <c r="D506" s="316"/>
      <c r="E506" s="316"/>
      <c r="F506" s="317" t="str">
        <f ca="1">'Translation Table'!H255</f>
        <v>Gas consumption</v>
      </c>
      <c r="G506" s="318"/>
      <c r="H506" s="223" t="str">
        <f ca="1">INDIRECT("'Lookup Tables'!B"&amp;78+P506) &amp;""</f>
        <v>E+06 m^3/y</v>
      </c>
      <c r="I506" s="216" t="str">
        <f ca="1">'Translation Table'!H108</f>
        <v>CH4</v>
      </c>
      <c r="J506" s="116">
        <v>2.92</v>
      </c>
      <c r="K506" s="135" t="s">
        <v>1015</v>
      </c>
      <c r="L506" s="116">
        <f t="shared" si="11"/>
        <v>2.92</v>
      </c>
      <c r="M506" s="116" t="s">
        <v>1093</v>
      </c>
      <c r="P506" s="133">
        <v>3</v>
      </c>
      <c r="Q506" s="133">
        <f ca="1">(INDIRECT("'Lookup Tables'!D"&amp;78+P506) &amp;"")*G506</f>
        <v>0</v>
      </c>
    </row>
    <row r="507" spans="2:17" ht="16.149999999999999" customHeight="1" x14ac:dyDescent="0.35">
      <c r="B507" s="332"/>
      <c r="C507" s="316"/>
      <c r="D507" s="316"/>
      <c r="E507" s="316"/>
      <c r="F507" s="317"/>
      <c r="G507" s="318"/>
      <c r="H507" s="224"/>
      <c r="I507" s="216" t="str">
        <f ca="1">'Translation Table'!H109</f>
        <v>CO2</v>
      </c>
      <c r="J507" s="116">
        <v>0.09</v>
      </c>
      <c r="K507" s="135" t="s">
        <v>1015</v>
      </c>
      <c r="L507" s="116">
        <f t="shared" si="11"/>
        <v>0.09</v>
      </c>
      <c r="M507" s="116" t="s">
        <v>1093</v>
      </c>
    </row>
    <row r="508" spans="2:17" ht="16.149999999999999" customHeight="1" x14ac:dyDescent="0.35">
      <c r="B508" s="332"/>
      <c r="C508" s="316"/>
      <c r="D508" s="316"/>
      <c r="E508" s="316"/>
      <c r="F508" s="317"/>
      <c r="G508" s="318"/>
      <c r="H508" s="224"/>
      <c r="I508" s="216" t="str">
        <f ca="1">'Translation Table'!H110</f>
        <v>N2O</v>
      </c>
      <c r="J508" s="116" t="s">
        <v>1015</v>
      </c>
      <c r="K508" s="135" t="s">
        <v>1015</v>
      </c>
      <c r="L508" s="116" t="str">
        <f t="shared" si="11"/>
        <v>NA</v>
      </c>
      <c r="M508" s="116" t="s">
        <v>1093</v>
      </c>
    </row>
    <row r="509" spans="2:17" ht="16.149999999999999" customHeight="1" x14ac:dyDescent="0.35">
      <c r="B509" s="332"/>
      <c r="C509" s="316"/>
      <c r="D509" s="316"/>
      <c r="E509" s="316"/>
      <c r="F509" s="317"/>
      <c r="G509" s="318"/>
      <c r="H509" s="224"/>
      <c r="I509" s="216" t="str">
        <f ca="1">'Translation Table'!H111</f>
        <v>NOx</v>
      </c>
      <c r="J509" s="116" t="s">
        <v>1015</v>
      </c>
      <c r="K509" s="135" t="s">
        <v>1015</v>
      </c>
      <c r="L509" s="116" t="str">
        <f t="shared" si="11"/>
        <v>NA</v>
      </c>
      <c r="M509" s="116" t="s">
        <v>1093</v>
      </c>
    </row>
    <row r="510" spans="2:17" ht="16.149999999999999" customHeight="1" x14ac:dyDescent="0.35">
      <c r="B510" s="332"/>
      <c r="C510" s="316"/>
      <c r="D510" s="316"/>
      <c r="E510" s="316"/>
      <c r="F510" s="317"/>
      <c r="G510" s="318"/>
      <c r="H510" s="224"/>
      <c r="I510" s="216" t="str">
        <f ca="1">'Translation Table'!H112</f>
        <v>CO</v>
      </c>
      <c r="J510" s="116" t="s">
        <v>1015</v>
      </c>
      <c r="K510" s="135" t="s">
        <v>1015</v>
      </c>
      <c r="L510" s="116" t="str">
        <f t="shared" si="11"/>
        <v>NA</v>
      </c>
      <c r="M510" s="116" t="s">
        <v>1093</v>
      </c>
    </row>
    <row r="511" spans="2:17" ht="16.149999999999999" customHeight="1" x14ac:dyDescent="0.35">
      <c r="B511" s="332"/>
      <c r="C511" s="316"/>
      <c r="D511" s="316"/>
      <c r="E511" s="316"/>
      <c r="F511" s="317"/>
      <c r="G511" s="318"/>
      <c r="H511" s="227"/>
      <c r="I511" s="216" t="str">
        <f ca="1">'Translation Table'!H113</f>
        <v>NMVOC</v>
      </c>
      <c r="J511" s="116">
        <v>4.1000000000000002E-2</v>
      </c>
      <c r="K511" s="135" t="s">
        <v>1015</v>
      </c>
      <c r="L511" s="116">
        <f t="shared" si="11"/>
        <v>4.1000000000000002E-2</v>
      </c>
      <c r="M511" s="116" t="s">
        <v>1093</v>
      </c>
    </row>
    <row r="512" spans="2:17" ht="16.149999999999999" customHeight="1" x14ac:dyDescent="0.35">
      <c r="B512" s="332"/>
      <c r="C512" s="316"/>
      <c r="D512" s="316"/>
      <c r="E512" s="316"/>
      <c r="F512" s="317"/>
      <c r="G512" s="318"/>
      <c r="H512" s="222"/>
      <c r="I512" s="216" t="str">
        <f ca="1">'Translation Table'!H114</f>
        <v>SO2</v>
      </c>
      <c r="J512" s="116" t="s">
        <v>1015</v>
      </c>
      <c r="K512" s="135" t="s">
        <v>1015</v>
      </c>
      <c r="L512" s="116" t="str">
        <f t="shared" si="11"/>
        <v>NA</v>
      </c>
      <c r="M512" s="116" t="s">
        <v>1093</v>
      </c>
    </row>
    <row r="513" spans="2:17" ht="16.149999999999999" customHeight="1" x14ac:dyDescent="0.35">
      <c r="B513" s="332"/>
      <c r="C513" s="316"/>
      <c r="D513" s="316"/>
      <c r="E513" s="316"/>
      <c r="F513" s="317" t="str">
        <f ca="1">'Translation Table'!H256</f>
        <v>Kilometre of pipeline</v>
      </c>
      <c r="G513" s="318"/>
      <c r="H513" s="217" t="str">
        <f>H514</f>
        <v>km</v>
      </c>
      <c r="I513" s="216" t="str">
        <f ca="1">'Translation Table'!H108</f>
        <v>CH4</v>
      </c>
      <c r="J513" s="116">
        <v>1.17</v>
      </c>
      <c r="K513" s="135" t="s">
        <v>1015</v>
      </c>
      <c r="L513" s="116">
        <f t="shared" si="11"/>
        <v>1.17</v>
      </c>
      <c r="M513" s="116" t="s">
        <v>1068</v>
      </c>
      <c r="Q513" s="133">
        <f>G513</f>
        <v>0</v>
      </c>
    </row>
    <row r="514" spans="2:17" ht="16.149999999999999" customHeight="1" x14ac:dyDescent="0.35">
      <c r="B514" s="332"/>
      <c r="C514" s="316"/>
      <c r="D514" s="316"/>
      <c r="E514" s="316"/>
      <c r="F514" s="317"/>
      <c r="G514" s="318"/>
      <c r="H514" s="230" t="s">
        <v>54</v>
      </c>
      <c r="I514" s="216" t="str">
        <f ca="1">'Translation Table'!H109</f>
        <v>CO2</v>
      </c>
      <c r="J514" s="116">
        <v>0.03</v>
      </c>
      <c r="K514" s="135" t="s">
        <v>1015</v>
      </c>
      <c r="L514" s="116">
        <f t="shared" si="11"/>
        <v>0.03</v>
      </c>
      <c r="M514" s="116" t="s">
        <v>1068</v>
      </c>
    </row>
    <row r="515" spans="2:17" ht="16.149999999999999" customHeight="1" x14ac:dyDescent="0.35">
      <c r="B515" s="332"/>
      <c r="C515" s="316"/>
      <c r="D515" s="316"/>
      <c r="E515" s="316"/>
      <c r="F515" s="317"/>
      <c r="G515" s="318"/>
      <c r="H515" s="230"/>
      <c r="I515" s="216" t="str">
        <f ca="1">'Translation Table'!H110</f>
        <v>N2O</v>
      </c>
      <c r="J515" s="116" t="s">
        <v>1015</v>
      </c>
      <c r="K515" s="135" t="s">
        <v>1015</v>
      </c>
      <c r="L515" s="116" t="str">
        <f t="shared" si="11"/>
        <v>NA</v>
      </c>
      <c r="M515" s="116" t="s">
        <v>1068</v>
      </c>
    </row>
    <row r="516" spans="2:17" ht="16.149999999999999" customHeight="1" x14ac:dyDescent="0.35">
      <c r="B516" s="332"/>
      <c r="C516" s="316"/>
      <c r="D516" s="316"/>
      <c r="E516" s="316"/>
      <c r="F516" s="317"/>
      <c r="G516" s="318"/>
      <c r="H516" s="230"/>
      <c r="I516" s="216" t="str">
        <f ca="1">'Translation Table'!H111</f>
        <v>NOx</v>
      </c>
      <c r="J516" s="116" t="s">
        <v>1015</v>
      </c>
      <c r="K516" s="135" t="s">
        <v>1015</v>
      </c>
      <c r="L516" s="116" t="str">
        <f t="shared" si="11"/>
        <v>NA</v>
      </c>
      <c r="M516" s="116" t="s">
        <v>1068</v>
      </c>
    </row>
    <row r="517" spans="2:17" ht="16.149999999999999" customHeight="1" x14ac:dyDescent="0.35">
      <c r="B517" s="332"/>
      <c r="C517" s="316"/>
      <c r="D517" s="316"/>
      <c r="E517" s="316"/>
      <c r="F517" s="317"/>
      <c r="G517" s="318"/>
      <c r="H517" s="230"/>
      <c r="I517" s="216" t="str">
        <f ca="1">'Translation Table'!H112</f>
        <v>CO</v>
      </c>
      <c r="J517" s="116" t="s">
        <v>1015</v>
      </c>
      <c r="K517" s="135" t="s">
        <v>1015</v>
      </c>
      <c r="L517" s="116" t="str">
        <f t="shared" si="11"/>
        <v>NA</v>
      </c>
      <c r="M517" s="116" t="s">
        <v>1068</v>
      </c>
    </row>
    <row r="518" spans="2:17" ht="16.149999999999999" customHeight="1" x14ac:dyDescent="0.35">
      <c r="B518" s="332"/>
      <c r="C518" s="316"/>
      <c r="D518" s="316"/>
      <c r="E518" s="316"/>
      <c r="F518" s="317"/>
      <c r="G518" s="318"/>
      <c r="H518" s="227"/>
      <c r="I518" s="216" t="str">
        <f ca="1">'Translation Table'!H113</f>
        <v>NMVOC</v>
      </c>
      <c r="J518" s="116">
        <v>1.6E-2</v>
      </c>
      <c r="K518" s="135" t="s">
        <v>1015</v>
      </c>
      <c r="L518" s="116">
        <f t="shared" si="11"/>
        <v>1.6E-2</v>
      </c>
      <c r="M518" s="116" t="s">
        <v>1068</v>
      </c>
    </row>
    <row r="519" spans="2:17" ht="16.149999999999999" customHeight="1" x14ac:dyDescent="0.35">
      <c r="B519" s="332"/>
      <c r="C519" s="316"/>
      <c r="D519" s="316"/>
      <c r="E519" s="316"/>
      <c r="F519" s="317"/>
      <c r="G519" s="318"/>
      <c r="H519" s="222"/>
      <c r="I519" s="216" t="str">
        <f ca="1">'Translation Table'!H114</f>
        <v>SO2</v>
      </c>
      <c r="J519" s="116" t="s">
        <v>1015</v>
      </c>
      <c r="K519" s="135" t="s">
        <v>1015</v>
      </c>
      <c r="L519" s="116" t="str">
        <f t="shared" si="11"/>
        <v>NA</v>
      </c>
      <c r="M519" s="116" t="s">
        <v>1068</v>
      </c>
    </row>
    <row r="520" spans="2:17" ht="16.149999999999999" customHeight="1" x14ac:dyDescent="0.35">
      <c r="B520" s="332"/>
      <c r="C520" s="316" t="str">
        <f ca="1">'Translation Table'!H176</f>
        <v>Greater than 50% plastic pipelines, and leak detection and repair programs are in use</v>
      </c>
      <c r="D520" s="316"/>
      <c r="E520" s="316"/>
      <c r="F520" s="317" t="str">
        <f ca="1">'Translation Table'!H257</f>
        <v>Gas consumption</v>
      </c>
      <c r="G520" s="318"/>
      <c r="H520" s="223" t="str">
        <f ca="1">INDIRECT("'Lookup Tables'!B"&amp;78+P520) &amp;""</f>
        <v>E+06 m^3/y</v>
      </c>
      <c r="I520" s="216" t="str">
        <f ca="1">'Translation Table'!H108</f>
        <v>CH4</v>
      </c>
      <c r="J520" s="116">
        <v>0.62</v>
      </c>
      <c r="K520" s="135" t="s">
        <v>1015</v>
      </c>
      <c r="L520" s="116">
        <f t="shared" si="11"/>
        <v>0.62</v>
      </c>
      <c r="M520" s="116" t="s">
        <v>1093</v>
      </c>
      <c r="P520" s="133">
        <v>3</v>
      </c>
      <c r="Q520" s="133">
        <f ca="1">(INDIRECT("'Lookup Tables'!D"&amp;78+P520) &amp;"")*G520</f>
        <v>0</v>
      </c>
    </row>
    <row r="521" spans="2:17" ht="16.149999999999999" customHeight="1" x14ac:dyDescent="0.35">
      <c r="B521" s="332"/>
      <c r="C521" s="316"/>
      <c r="D521" s="316"/>
      <c r="E521" s="316"/>
      <c r="F521" s="317"/>
      <c r="G521" s="318"/>
      <c r="H521" s="224"/>
      <c r="I521" s="216" t="str">
        <f ca="1">'Translation Table'!H109</f>
        <v>CO2</v>
      </c>
      <c r="J521" s="116">
        <v>0.02</v>
      </c>
      <c r="K521" s="135" t="s">
        <v>1015</v>
      </c>
      <c r="L521" s="116">
        <f t="shared" si="11"/>
        <v>0.02</v>
      </c>
      <c r="M521" s="116" t="s">
        <v>1093</v>
      </c>
    </row>
    <row r="522" spans="2:17" ht="16.149999999999999" customHeight="1" x14ac:dyDescent="0.35">
      <c r="B522" s="332"/>
      <c r="C522" s="316"/>
      <c r="D522" s="316"/>
      <c r="E522" s="316"/>
      <c r="F522" s="317"/>
      <c r="G522" s="318"/>
      <c r="H522" s="224"/>
      <c r="I522" s="216" t="str">
        <f ca="1">'Translation Table'!H110</f>
        <v>N2O</v>
      </c>
      <c r="J522" s="116" t="s">
        <v>1015</v>
      </c>
      <c r="K522" s="135" t="s">
        <v>1015</v>
      </c>
      <c r="L522" s="116" t="str">
        <f t="shared" si="11"/>
        <v>NA</v>
      </c>
      <c r="M522" s="116" t="s">
        <v>1093</v>
      </c>
    </row>
    <row r="523" spans="2:17" ht="16.149999999999999" customHeight="1" x14ac:dyDescent="0.35">
      <c r="B523" s="332"/>
      <c r="C523" s="316"/>
      <c r="D523" s="316"/>
      <c r="E523" s="316"/>
      <c r="F523" s="317"/>
      <c r="G523" s="318"/>
      <c r="H523" s="224"/>
      <c r="I523" s="216" t="str">
        <f ca="1">'Translation Table'!H111</f>
        <v>NOx</v>
      </c>
      <c r="J523" s="116" t="s">
        <v>1015</v>
      </c>
      <c r="K523" s="135" t="s">
        <v>1015</v>
      </c>
      <c r="L523" s="116" t="str">
        <f t="shared" si="11"/>
        <v>NA</v>
      </c>
      <c r="M523" s="116" t="s">
        <v>1093</v>
      </c>
    </row>
    <row r="524" spans="2:17" ht="16.149999999999999" customHeight="1" x14ac:dyDescent="0.35">
      <c r="B524" s="332"/>
      <c r="C524" s="316"/>
      <c r="D524" s="316"/>
      <c r="E524" s="316"/>
      <c r="F524" s="317"/>
      <c r="G524" s="318"/>
      <c r="H524" s="224"/>
      <c r="I524" s="216" t="str">
        <f ca="1">'Translation Table'!H112</f>
        <v>CO</v>
      </c>
      <c r="J524" s="116" t="s">
        <v>1015</v>
      </c>
      <c r="K524" s="135" t="s">
        <v>1015</v>
      </c>
      <c r="L524" s="116" t="str">
        <f t="shared" si="11"/>
        <v>NA</v>
      </c>
      <c r="M524" s="116" t="s">
        <v>1093</v>
      </c>
    </row>
    <row r="525" spans="2:17" ht="16.149999999999999" customHeight="1" x14ac:dyDescent="0.35">
      <c r="B525" s="332"/>
      <c r="C525" s="316"/>
      <c r="D525" s="316"/>
      <c r="E525" s="316"/>
      <c r="F525" s="317"/>
      <c r="G525" s="318"/>
      <c r="H525" s="227"/>
      <c r="I525" s="216" t="str">
        <f ca="1">'Translation Table'!H113</f>
        <v>NMVOC</v>
      </c>
      <c r="J525" s="116">
        <v>8.9999999999999993E-3</v>
      </c>
      <c r="K525" s="135" t="s">
        <v>1015</v>
      </c>
      <c r="L525" s="116">
        <f t="shared" si="11"/>
        <v>8.9999999999999993E-3</v>
      </c>
      <c r="M525" s="116" t="s">
        <v>1093</v>
      </c>
    </row>
    <row r="526" spans="2:17" ht="16.149999999999999" customHeight="1" x14ac:dyDescent="0.35">
      <c r="B526" s="332"/>
      <c r="C526" s="316"/>
      <c r="D526" s="316"/>
      <c r="E526" s="316"/>
      <c r="F526" s="317"/>
      <c r="G526" s="318"/>
      <c r="H526" s="222"/>
      <c r="I526" s="216" t="str">
        <f ca="1">'Translation Table'!H114</f>
        <v>SO2</v>
      </c>
      <c r="J526" s="116" t="s">
        <v>1015</v>
      </c>
      <c r="K526" s="135" t="s">
        <v>1015</v>
      </c>
      <c r="L526" s="116" t="str">
        <f t="shared" si="11"/>
        <v>NA</v>
      </c>
      <c r="M526" s="116" t="s">
        <v>1093</v>
      </c>
    </row>
    <row r="527" spans="2:17" ht="16.149999999999999" customHeight="1" x14ac:dyDescent="0.35">
      <c r="B527" s="332"/>
      <c r="C527" s="316"/>
      <c r="D527" s="316"/>
      <c r="E527" s="316"/>
      <c r="F527" s="317" t="str">
        <f ca="1">'Translation Table'!H258</f>
        <v>Kilometre of pipeline</v>
      </c>
      <c r="G527" s="318"/>
      <c r="H527" s="217" t="str">
        <f>H528</f>
        <v>km</v>
      </c>
      <c r="I527" s="216" t="str">
        <f ca="1">'Translation Table'!H108</f>
        <v>CH4</v>
      </c>
      <c r="J527" s="116">
        <v>0.23</v>
      </c>
      <c r="K527" s="135" t="s">
        <v>1015</v>
      </c>
      <c r="L527" s="116">
        <f t="shared" si="11"/>
        <v>0.23</v>
      </c>
      <c r="M527" s="116" t="s">
        <v>1068</v>
      </c>
      <c r="Q527" s="133">
        <f>G527</f>
        <v>0</v>
      </c>
    </row>
    <row r="528" spans="2:17" ht="16.149999999999999" customHeight="1" x14ac:dyDescent="0.35">
      <c r="B528" s="332"/>
      <c r="C528" s="316"/>
      <c r="D528" s="316"/>
      <c r="E528" s="316"/>
      <c r="F528" s="317"/>
      <c r="G528" s="318"/>
      <c r="H528" s="230" t="s">
        <v>54</v>
      </c>
      <c r="I528" s="216" t="str">
        <f ca="1">'Translation Table'!H109</f>
        <v>CO2</v>
      </c>
      <c r="J528" s="116">
        <v>0.01</v>
      </c>
      <c r="K528" s="135" t="s">
        <v>1015</v>
      </c>
      <c r="L528" s="116">
        <f t="shared" si="11"/>
        <v>0.01</v>
      </c>
      <c r="M528" s="116" t="s">
        <v>1068</v>
      </c>
    </row>
    <row r="529" spans="2:17" ht="16.149999999999999" customHeight="1" x14ac:dyDescent="0.35">
      <c r="B529" s="332"/>
      <c r="C529" s="316"/>
      <c r="D529" s="316"/>
      <c r="E529" s="316"/>
      <c r="F529" s="317"/>
      <c r="G529" s="318"/>
      <c r="H529" s="230"/>
      <c r="I529" s="216" t="str">
        <f ca="1">'Translation Table'!H110</f>
        <v>N2O</v>
      </c>
      <c r="J529" s="116" t="s">
        <v>1015</v>
      </c>
      <c r="K529" s="135" t="s">
        <v>1015</v>
      </c>
      <c r="L529" s="116" t="str">
        <f t="shared" si="11"/>
        <v>NA</v>
      </c>
      <c r="M529" s="116" t="s">
        <v>1068</v>
      </c>
    </row>
    <row r="530" spans="2:17" ht="16.149999999999999" customHeight="1" x14ac:dyDescent="0.35">
      <c r="B530" s="332"/>
      <c r="C530" s="316"/>
      <c r="D530" s="316"/>
      <c r="E530" s="316"/>
      <c r="F530" s="317"/>
      <c r="G530" s="318"/>
      <c r="H530" s="230"/>
      <c r="I530" s="216" t="str">
        <f ca="1">'Translation Table'!H111</f>
        <v>NOx</v>
      </c>
      <c r="J530" s="116" t="s">
        <v>1015</v>
      </c>
      <c r="K530" s="135" t="s">
        <v>1015</v>
      </c>
      <c r="L530" s="116" t="str">
        <f t="shared" si="11"/>
        <v>NA</v>
      </c>
      <c r="M530" s="116" t="s">
        <v>1068</v>
      </c>
    </row>
    <row r="531" spans="2:17" ht="16.149999999999999" customHeight="1" x14ac:dyDescent="0.35">
      <c r="B531" s="332"/>
      <c r="C531" s="316"/>
      <c r="D531" s="316"/>
      <c r="E531" s="316"/>
      <c r="F531" s="317"/>
      <c r="G531" s="318"/>
      <c r="H531" s="230"/>
      <c r="I531" s="216" t="str">
        <f ca="1">'Translation Table'!H112</f>
        <v>CO</v>
      </c>
      <c r="J531" s="116" t="s">
        <v>1015</v>
      </c>
      <c r="K531" s="135" t="s">
        <v>1015</v>
      </c>
      <c r="L531" s="116" t="str">
        <f t="shared" si="11"/>
        <v>NA</v>
      </c>
      <c r="M531" s="116" t="s">
        <v>1068</v>
      </c>
    </row>
    <row r="532" spans="2:17" ht="16.149999999999999" customHeight="1" x14ac:dyDescent="0.35">
      <c r="B532" s="332"/>
      <c r="C532" s="316"/>
      <c r="D532" s="316"/>
      <c r="E532" s="316"/>
      <c r="F532" s="317"/>
      <c r="G532" s="318"/>
      <c r="H532" s="227"/>
      <c r="I532" s="216" t="str">
        <f ca="1">'Translation Table'!H113</f>
        <v>NMVOC</v>
      </c>
      <c r="J532" s="116">
        <v>3.0000000000000001E-3</v>
      </c>
      <c r="K532" s="135" t="s">
        <v>1015</v>
      </c>
      <c r="L532" s="116">
        <f t="shared" si="11"/>
        <v>3.0000000000000001E-3</v>
      </c>
      <c r="M532" s="116" t="s">
        <v>1068</v>
      </c>
    </row>
    <row r="533" spans="2:17" ht="16.149999999999999" customHeight="1" x14ac:dyDescent="0.35">
      <c r="B533" s="332"/>
      <c r="C533" s="316"/>
      <c r="D533" s="316"/>
      <c r="E533" s="316"/>
      <c r="F533" s="317"/>
      <c r="G533" s="318"/>
      <c r="H533" s="222"/>
      <c r="I533" s="216" t="str">
        <f ca="1">'Translation Table'!H114</f>
        <v>SO2</v>
      </c>
      <c r="J533" s="116" t="s">
        <v>1015</v>
      </c>
      <c r="K533" s="135" t="s">
        <v>1015</v>
      </c>
      <c r="L533" s="116" t="str">
        <f t="shared" si="11"/>
        <v>NA</v>
      </c>
      <c r="M533" s="116" t="s">
        <v>1068</v>
      </c>
    </row>
    <row r="534" spans="2:17" ht="16.149999999999999" customHeight="1" x14ac:dyDescent="0.35">
      <c r="B534" s="332"/>
      <c r="C534" s="316" t="str">
        <f ca="1">'Translation Table'!H177</f>
        <v>Distribution All</v>
      </c>
      <c r="D534" s="316"/>
      <c r="E534" s="316"/>
      <c r="F534" s="317" t="str">
        <f ca="1">'Translation Table'!H259</f>
        <v>Gas consumption</v>
      </c>
      <c r="G534" s="318"/>
      <c r="H534" s="223" t="str">
        <f ca="1">INDIRECT("'Lookup Tables'!B"&amp;78+P534) &amp;""</f>
        <v>E+06 m^3/y</v>
      </c>
      <c r="I534" s="216" t="str">
        <f ca="1">'Translation Table'!H108</f>
        <v>CH4</v>
      </c>
      <c r="J534" s="116" t="s">
        <v>1015</v>
      </c>
      <c r="K534" s="135"/>
      <c r="L534" s="116" t="str">
        <f t="shared" si="11"/>
        <v>NA</v>
      </c>
      <c r="M534" s="116" t="s">
        <v>1093</v>
      </c>
      <c r="P534" s="133">
        <v>3</v>
      </c>
      <c r="Q534" s="133">
        <f ca="1">(INDIRECT("'Lookup Tables'!D"&amp;78+P534) &amp;"")*G534</f>
        <v>0</v>
      </c>
    </row>
    <row r="535" spans="2:17" ht="16.149999999999999" customHeight="1" x14ac:dyDescent="0.35">
      <c r="B535" s="332"/>
      <c r="C535" s="316"/>
      <c r="D535" s="316"/>
      <c r="E535" s="316"/>
      <c r="F535" s="317"/>
      <c r="G535" s="318"/>
      <c r="H535" s="224"/>
      <c r="I535" s="216" t="str">
        <f ca="1">'Translation Table'!H109</f>
        <v>CO2</v>
      </c>
      <c r="J535" s="116" t="s">
        <v>1015</v>
      </c>
      <c r="K535" s="135"/>
      <c r="L535" s="116" t="str">
        <f t="shared" ref="L535:L598" si="12">IF(OR(K535="",K535="NA"),J535,K535)</f>
        <v>NA</v>
      </c>
      <c r="M535" s="116" t="s">
        <v>1093</v>
      </c>
    </row>
    <row r="536" spans="2:17" ht="16.149999999999999" customHeight="1" x14ac:dyDescent="0.35">
      <c r="B536" s="332"/>
      <c r="C536" s="316"/>
      <c r="D536" s="316"/>
      <c r="E536" s="316"/>
      <c r="F536" s="317"/>
      <c r="G536" s="318"/>
      <c r="H536" s="224"/>
      <c r="I536" s="216" t="str">
        <f ca="1">'Translation Table'!H110</f>
        <v>N2O</v>
      </c>
      <c r="J536" s="116" t="s">
        <v>1015</v>
      </c>
      <c r="K536" s="135"/>
      <c r="L536" s="116" t="str">
        <f t="shared" si="12"/>
        <v>NA</v>
      </c>
      <c r="M536" s="116" t="s">
        <v>1093</v>
      </c>
    </row>
    <row r="537" spans="2:17" ht="16.149999999999999" customHeight="1" x14ac:dyDescent="0.35">
      <c r="B537" s="332"/>
      <c r="C537" s="316"/>
      <c r="D537" s="316"/>
      <c r="E537" s="316"/>
      <c r="F537" s="317"/>
      <c r="G537" s="318"/>
      <c r="H537" s="224"/>
      <c r="I537" s="216" t="str">
        <f ca="1">'Translation Table'!H111</f>
        <v>NOx</v>
      </c>
      <c r="J537" s="116" t="s">
        <v>1015</v>
      </c>
      <c r="K537" s="135"/>
      <c r="L537" s="116" t="str">
        <f t="shared" si="12"/>
        <v>NA</v>
      </c>
      <c r="M537" s="116" t="s">
        <v>1093</v>
      </c>
    </row>
    <row r="538" spans="2:17" ht="16.149999999999999" customHeight="1" x14ac:dyDescent="0.35">
      <c r="B538" s="332"/>
      <c r="C538" s="316"/>
      <c r="D538" s="316"/>
      <c r="E538" s="316"/>
      <c r="F538" s="317"/>
      <c r="G538" s="318"/>
      <c r="H538" s="224"/>
      <c r="I538" s="216" t="str">
        <f ca="1">'Translation Table'!H112</f>
        <v>CO</v>
      </c>
      <c r="J538" s="116" t="s">
        <v>1015</v>
      </c>
      <c r="K538" s="135"/>
      <c r="L538" s="116" t="str">
        <f t="shared" si="12"/>
        <v>NA</v>
      </c>
      <c r="M538" s="116" t="s">
        <v>1093</v>
      </c>
    </row>
    <row r="539" spans="2:17" ht="16.149999999999999" customHeight="1" x14ac:dyDescent="0.35">
      <c r="B539" s="332"/>
      <c r="C539" s="316"/>
      <c r="D539" s="316"/>
      <c r="E539" s="316"/>
      <c r="F539" s="317"/>
      <c r="G539" s="318"/>
      <c r="H539" s="227"/>
      <c r="I539" s="216" t="str">
        <f ca="1">'Translation Table'!H113</f>
        <v>NMVOC</v>
      </c>
      <c r="J539" s="116" t="s">
        <v>1015</v>
      </c>
      <c r="K539" s="135"/>
      <c r="L539" s="116" t="str">
        <f t="shared" si="12"/>
        <v>NA</v>
      </c>
      <c r="M539" s="116" t="s">
        <v>1093</v>
      </c>
    </row>
    <row r="540" spans="2:17" ht="16.149999999999999" customHeight="1" x14ac:dyDescent="0.35">
      <c r="B540" s="332"/>
      <c r="C540" s="316"/>
      <c r="D540" s="316"/>
      <c r="E540" s="316"/>
      <c r="F540" s="317"/>
      <c r="G540" s="318"/>
      <c r="H540" s="222"/>
      <c r="I540" s="216" t="str">
        <f ca="1">'Translation Table'!H114</f>
        <v>SO2</v>
      </c>
      <c r="J540" s="116" t="s">
        <v>1015</v>
      </c>
      <c r="K540" s="135"/>
      <c r="L540" s="116" t="str">
        <f t="shared" si="12"/>
        <v>NA</v>
      </c>
      <c r="M540" s="116" t="s">
        <v>1093</v>
      </c>
    </row>
    <row r="541" spans="2:17" ht="16.149999999999999" customHeight="1" x14ac:dyDescent="0.35">
      <c r="B541" s="332"/>
      <c r="C541" s="316"/>
      <c r="D541" s="316"/>
      <c r="E541" s="316"/>
      <c r="F541" s="317" t="str">
        <f ca="1">'Translation Table'!H260</f>
        <v>Kilometre of pipeline</v>
      </c>
      <c r="G541" s="318"/>
      <c r="H541" s="217" t="str">
        <f>H542</f>
        <v>km</v>
      </c>
      <c r="I541" s="216" t="str">
        <f ca="1">'Translation Table'!H108</f>
        <v>CH4</v>
      </c>
      <c r="J541" s="116" t="s">
        <v>1015</v>
      </c>
      <c r="K541" s="135"/>
      <c r="L541" s="116" t="str">
        <f t="shared" si="12"/>
        <v>NA</v>
      </c>
      <c r="M541" s="116" t="s">
        <v>1068</v>
      </c>
      <c r="Q541" s="133">
        <f>G541</f>
        <v>0</v>
      </c>
    </row>
    <row r="542" spans="2:17" ht="16.149999999999999" customHeight="1" x14ac:dyDescent="0.35">
      <c r="B542" s="332"/>
      <c r="C542" s="316"/>
      <c r="D542" s="316"/>
      <c r="E542" s="316"/>
      <c r="F542" s="317"/>
      <c r="G542" s="318"/>
      <c r="H542" s="230" t="s">
        <v>54</v>
      </c>
      <c r="I542" s="216" t="str">
        <f ca="1">'Translation Table'!H109</f>
        <v>CO2</v>
      </c>
      <c r="J542" s="116" t="s">
        <v>1015</v>
      </c>
      <c r="K542" s="135"/>
      <c r="L542" s="116" t="str">
        <f t="shared" si="12"/>
        <v>NA</v>
      </c>
      <c r="M542" s="116" t="s">
        <v>1068</v>
      </c>
    </row>
    <row r="543" spans="2:17" ht="16.149999999999999" customHeight="1" x14ac:dyDescent="0.35">
      <c r="B543" s="332"/>
      <c r="C543" s="316"/>
      <c r="D543" s="316"/>
      <c r="E543" s="316"/>
      <c r="F543" s="317"/>
      <c r="G543" s="318"/>
      <c r="H543" s="230"/>
      <c r="I543" s="216" t="str">
        <f ca="1">'Translation Table'!H110</f>
        <v>N2O</v>
      </c>
      <c r="J543" s="116" t="s">
        <v>1015</v>
      </c>
      <c r="K543" s="135"/>
      <c r="L543" s="116" t="str">
        <f t="shared" si="12"/>
        <v>NA</v>
      </c>
      <c r="M543" s="116" t="s">
        <v>1068</v>
      </c>
    </row>
    <row r="544" spans="2:17" ht="16.149999999999999" customHeight="1" x14ac:dyDescent="0.35">
      <c r="B544" s="332"/>
      <c r="C544" s="316"/>
      <c r="D544" s="316"/>
      <c r="E544" s="316"/>
      <c r="F544" s="317"/>
      <c r="G544" s="318"/>
      <c r="H544" s="230"/>
      <c r="I544" s="216" t="str">
        <f ca="1">'Translation Table'!H111</f>
        <v>NOx</v>
      </c>
      <c r="J544" s="116" t="s">
        <v>1015</v>
      </c>
      <c r="K544" s="135"/>
      <c r="L544" s="116" t="str">
        <f t="shared" si="12"/>
        <v>NA</v>
      </c>
      <c r="M544" s="116" t="s">
        <v>1068</v>
      </c>
    </row>
    <row r="545" spans="2:17" ht="16.149999999999999" customHeight="1" x14ac:dyDescent="0.35">
      <c r="B545" s="332"/>
      <c r="C545" s="316"/>
      <c r="D545" s="316"/>
      <c r="E545" s="316"/>
      <c r="F545" s="317"/>
      <c r="G545" s="318"/>
      <c r="H545" s="230"/>
      <c r="I545" s="216" t="str">
        <f ca="1">'Translation Table'!H112</f>
        <v>CO</v>
      </c>
      <c r="J545" s="116" t="s">
        <v>1015</v>
      </c>
      <c r="K545" s="135"/>
      <c r="L545" s="116" t="str">
        <f t="shared" si="12"/>
        <v>NA</v>
      </c>
      <c r="M545" s="116" t="s">
        <v>1068</v>
      </c>
    </row>
    <row r="546" spans="2:17" ht="16.149999999999999" customHeight="1" x14ac:dyDescent="0.35">
      <c r="B546" s="332"/>
      <c r="C546" s="316"/>
      <c r="D546" s="316"/>
      <c r="E546" s="316"/>
      <c r="F546" s="317"/>
      <c r="G546" s="318"/>
      <c r="H546" s="227"/>
      <c r="I546" s="216" t="str">
        <f ca="1">'Translation Table'!H113</f>
        <v>NMVOC</v>
      </c>
      <c r="J546" s="116" t="s">
        <v>1015</v>
      </c>
      <c r="K546" s="135"/>
      <c r="L546" s="116" t="str">
        <f t="shared" si="12"/>
        <v>NA</v>
      </c>
      <c r="M546" s="116" t="s">
        <v>1068</v>
      </c>
    </row>
    <row r="547" spans="2:17" ht="16.149999999999999" customHeight="1" x14ac:dyDescent="0.35">
      <c r="B547" s="332"/>
      <c r="C547" s="316"/>
      <c r="D547" s="316"/>
      <c r="E547" s="316"/>
      <c r="F547" s="317"/>
      <c r="G547" s="318"/>
      <c r="H547" s="222"/>
      <c r="I547" s="216" t="str">
        <f ca="1">'Translation Table'!H114</f>
        <v>SO2</v>
      </c>
      <c r="J547" s="116" t="s">
        <v>1015</v>
      </c>
      <c r="K547" s="135"/>
      <c r="L547" s="116" t="str">
        <f t="shared" si="12"/>
        <v>NA</v>
      </c>
      <c r="M547" s="116" t="s">
        <v>1068</v>
      </c>
    </row>
    <row r="548" spans="2:17" ht="16.149999999999999" customHeight="1" x14ac:dyDescent="0.35">
      <c r="B548" s="332"/>
      <c r="C548" s="316" t="str">
        <f ca="1">'Translation Table'!H178</f>
        <v>Short term surface storage</v>
      </c>
      <c r="D548" s="316"/>
      <c r="E548" s="316"/>
      <c r="F548" s="317" t="str">
        <f ca="1">'Translation Table'!H261</f>
        <v>Gas stored</v>
      </c>
      <c r="G548" s="318"/>
      <c r="H548" s="223" t="str">
        <f ca="1">INDIRECT("'Lookup Tables'!B"&amp;78+P548) &amp;""</f>
        <v>E+06 m^3/y</v>
      </c>
      <c r="I548" s="216" t="str">
        <f ca="1">'Translation Table'!H108</f>
        <v>CH4</v>
      </c>
      <c r="J548" s="116">
        <v>5</v>
      </c>
      <c r="K548" s="135"/>
      <c r="L548" s="116">
        <f t="shared" si="12"/>
        <v>5</v>
      </c>
      <c r="M548" s="116" t="s">
        <v>1093</v>
      </c>
      <c r="P548" s="133">
        <v>3</v>
      </c>
      <c r="Q548" s="133">
        <f ca="1">(INDIRECT("'Lookup Tables'!D"&amp;78+P548) &amp;"")*G548</f>
        <v>0</v>
      </c>
    </row>
    <row r="549" spans="2:17" ht="16.149999999999999" customHeight="1" x14ac:dyDescent="0.35">
      <c r="B549" s="332"/>
      <c r="C549" s="316"/>
      <c r="D549" s="316"/>
      <c r="E549" s="316"/>
      <c r="F549" s="317"/>
      <c r="G549" s="318"/>
      <c r="H549" s="224"/>
      <c r="I549" s="216" t="str">
        <f ca="1">'Translation Table'!H109</f>
        <v>CO2</v>
      </c>
      <c r="J549" s="116">
        <v>3.4000000000000002E-2</v>
      </c>
      <c r="K549" s="135"/>
      <c r="L549" s="116">
        <f t="shared" si="12"/>
        <v>3.4000000000000002E-2</v>
      </c>
      <c r="M549" s="116" t="s">
        <v>1093</v>
      </c>
    </row>
    <row r="550" spans="2:17" ht="16.149999999999999" customHeight="1" x14ac:dyDescent="0.35">
      <c r="B550" s="332"/>
      <c r="C550" s="316"/>
      <c r="D550" s="316"/>
      <c r="E550" s="316"/>
      <c r="F550" s="317"/>
      <c r="G550" s="318"/>
      <c r="H550" s="224"/>
      <c r="I550" s="216" t="str">
        <f ca="1">'Translation Table'!H110</f>
        <v>N2O</v>
      </c>
      <c r="J550" s="116" t="s">
        <v>1015</v>
      </c>
      <c r="K550" s="135"/>
      <c r="L550" s="116" t="str">
        <f t="shared" si="12"/>
        <v>NA</v>
      </c>
      <c r="M550" s="116" t="s">
        <v>1093</v>
      </c>
    </row>
    <row r="551" spans="2:17" ht="16.149999999999999" customHeight="1" x14ac:dyDescent="0.35">
      <c r="B551" s="332"/>
      <c r="C551" s="316"/>
      <c r="D551" s="316"/>
      <c r="E551" s="316"/>
      <c r="F551" s="317"/>
      <c r="G551" s="318"/>
      <c r="H551" s="224"/>
      <c r="I551" s="216" t="str">
        <f ca="1">'Translation Table'!H111</f>
        <v>NOx</v>
      </c>
      <c r="J551" s="116" t="s">
        <v>1015</v>
      </c>
      <c r="K551" s="135"/>
      <c r="L551" s="116" t="str">
        <f t="shared" si="12"/>
        <v>NA</v>
      </c>
      <c r="M551" s="116" t="s">
        <v>1093</v>
      </c>
    </row>
    <row r="552" spans="2:17" ht="16.149999999999999" customHeight="1" x14ac:dyDescent="0.35">
      <c r="B552" s="332"/>
      <c r="C552" s="316"/>
      <c r="D552" s="316"/>
      <c r="E552" s="316"/>
      <c r="F552" s="317"/>
      <c r="G552" s="318"/>
      <c r="H552" s="224"/>
      <c r="I552" s="216" t="str">
        <f ca="1">'Translation Table'!H112</f>
        <v>CO</v>
      </c>
      <c r="J552" s="116" t="s">
        <v>1015</v>
      </c>
      <c r="K552" s="135"/>
      <c r="L552" s="116" t="str">
        <f t="shared" si="12"/>
        <v>NA</v>
      </c>
      <c r="M552" s="116" t="s">
        <v>1093</v>
      </c>
    </row>
    <row r="553" spans="2:17" ht="16.149999999999999" customHeight="1" x14ac:dyDescent="0.35">
      <c r="B553" s="332"/>
      <c r="C553" s="316"/>
      <c r="D553" s="316"/>
      <c r="E553" s="316"/>
      <c r="F553" s="317"/>
      <c r="G553" s="318"/>
      <c r="H553" s="227"/>
      <c r="I553" s="216" t="str">
        <f ca="1">'Translation Table'!H113</f>
        <v>NMVOC</v>
      </c>
      <c r="J553" s="116">
        <v>0.125</v>
      </c>
      <c r="K553" s="135"/>
      <c r="L553" s="116">
        <f t="shared" si="12"/>
        <v>0.125</v>
      </c>
      <c r="M553" s="116" t="s">
        <v>1093</v>
      </c>
    </row>
    <row r="554" spans="2:17" ht="16.149999999999999" customHeight="1" x14ac:dyDescent="0.35">
      <c r="B554" s="332"/>
      <c r="C554" s="316"/>
      <c r="D554" s="316"/>
      <c r="E554" s="316"/>
      <c r="F554" s="317"/>
      <c r="G554" s="318"/>
      <c r="H554" s="222"/>
      <c r="I554" s="216" t="str">
        <f ca="1">'Translation Table'!H114</f>
        <v>SO2</v>
      </c>
      <c r="J554" s="116" t="s">
        <v>1015</v>
      </c>
      <c r="K554" s="135"/>
      <c r="L554" s="116" t="str">
        <f t="shared" si="12"/>
        <v>NA</v>
      </c>
      <c r="M554" s="116" t="s">
        <v>1093</v>
      </c>
    </row>
    <row r="555" spans="2:17" ht="16.149999999999999" customHeight="1" x14ac:dyDescent="0.35">
      <c r="B555" s="332"/>
      <c r="C555" s="316"/>
      <c r="D555" s="316"/>
      <c r="E555" s="316"/>
      <c r="F555" s="317" t="str">
        <f ca="1">'Translation Table'!H262</f>
        <v>Gas consumption</v>
      </c>
      <c r="G555" s="318"/>
      <c r="H555" s="223" t="str">
        <f ca="1">INDIRECT("'Lookup Tables'!B"&amp;78+P555) &amp;""</f>
        <v>E+06 m^3/y</v>
      </c>
      <c r="I555" s="216" t="str">
        <f ca="1">'Translation Table'!H108</f>
        <v>CH4</v>
      </c>
      <c r="J555" s="116">
        <v>3.0000000000000001E-3</v>
      </c>
      <c r="K555" s="135"/>
      <c r="L555" s="116">
        <f t="shared" si="12"/>
        <v>3.0000000000000001E-3</v>
      </c>
      <c r="M555" s="116" t="s">
        <v>1093</v>
      </c>
      <c r="P555" s="133">
        <v>3</v>
      </c>
      <c r="Q555" s="133">
        <f ca="1">(INDIRECT("'Lookup Tables'!D"&amp;78+P555) &amp;"")*G555</f>
        <v>0</v>
      </c>
    </row>
    <row r="556" spans="2:17" ht="16.149999999999999" customHeight="1" x14ac:dyDescent="0.35">
      <c r="B556" s="332"/>
      <c r="C556" s="316"/>
      <c r="D556" s="316"/>
      <c r="E556" s="316"/>
      <c r="F556" s="317"/>
      <c r="G556" s="318"/>
      <c r="H556" s="224"/>
      <c r="I556" s="216" t="str">
        <f ca="1">'Translation Table'!H109</f>
        <v>CO2</v>
      </c>
      <c r="J556" s="116">
        <v>2.0999999999999999E-5</v>
      </c>
      <c r="K556" s="135"/>
      <c r="L556" s="116">
        <f t="shared" si="12"/>
        <v>2.0999999999999999E-5</v>
      </c>
      <c r="M556" s="116" t="s">
        <v>1093</v>
      </c>
    </row>
    <row r="557" spans="2:17" ht="16.149999999999999" customHeight="1" x14ac:dyDescent="0.35">
      <c r="B557" s="332"/>
      <c r="C557" s="316"/>
      <c r="D557" s="316"/>
      <c r="E557" s="316"/>
      <c r="F557" s="317"/>
      <c r="G557" s="318"/>
      <c r="H557" s="224"/>
      <c r="I557" s="216" t="str">
        <f ca="1">'Translation Table'!H110</f>
        <v>N2O</v>
      </c>
      <c r="J557" s="116" t="s">
        <v>1015</v>
      </c>
      <c r="K557" s="135"/>
      <c r="L557" s="116" t="str">
        <f t="shared" si="12"/>
        <v>NA</v>
      </c>
      <c r="M557" s="116" t="s">
        <v>1093</v>
      </c>
    </row>
    <row r="558" spans="2:17" ht="16.149999999999999" customHeight="1" x14ac:dyDescent="0.35">
      <c r="B558" s="332"/>
      <c r="C558" s="316"/>
      <c r="D558" s="316"/>
      <c r="E558" s="316"/>
      <c r="F558" s="317"/>
      <c r="G558" s="318"/>
      <c r="H558" s="224"/>
      <c r="I558" s="216" t="str">
        <f ca="1">'Translation Table'!H111</f>
        <v>NOx</v>
      </c>
      <c r="J558" s="116" t="s">
        <v>1015</v>
      </c>
      <c r="K558" s="135"/>
      <c r="L558" s="116" t="str">
        <f t="shared" si="12"/>
        <v>NA</v>
      </c>
      <c r="M558" s="116" t="s">
        <v>1093</v>
      </c>
    </row>
    <row r="559" spans="2:17" ht="16.149999999999999" customHeight="1" x14ac:dyDescent="0.35">
      <c r="B559" s="332"/>
      <c r="C559" s="316"/>
      <c r="D559" s="316"/>
      <c r="E559" s="316"/>
      <c r="F559" s="317"/>
      <c r="G559" s="318"/>
      <c r="H559" s="224"/>
      <c r="I559" s="216" t="str">
        <f ca="1">'Translation Table'!H112</f>
        <v>CO</v>
      </c>
      <c r="J559" s="116" t="s">
        <v>1015</v>
      </c>
      <c r="K559" s="135"/>
      <c r="L559" s="116" t="str">
        <f t="shared" si="12"/>
        <v>NA</v>
      </c>
      <c r="M559" s="116" t="s">
        <v>1093</v>
      </c>
    </row>
    <row r="560" spans="2:17" ht="16.149999999999999" customHeight="1" x14ac:dyDescent="0.35">
      <c r="B560" s="332"/>
      <c r="C560" s="316"/>
      <c r="D560" s="316"/>
      <c r="E560" s="316"/>
      <c r="F560" s="317"/>
      <c r="G560" s="318"/>
      <c r="H560" s="227"/>
      <c r="I560" s="216" t="str">
        <f ca="1">'Translation Table'!H113</f>
        <v>NMVOC</v>
      </c>
      <c r="J560" s="116">
        <v>7.4999999999999993E-5</v>
      </c>
      <c r="K560" s="135"/>
      <c r="L560" s="116">
        <f t="shared" si="12"/>
        <v>7.4999999999999993E-5</v>
      </c>
      <c r="M560" s="116" t="s">
        <v>1093</v>
      </c>
    </row>
    <row r="561" spans="2:17" ht="16.149999999999999" customHeight="1" x14ac:dyDescent="0.35">
      <c r="B561" s="332"/>
      <c r="C561" s="316"/>
      <c r="D561" s="316"/>
      <c r="E561" s="316"/>
      <c r="F561" s="317"/>
      <c r="G561" s="318"/>
      <c r="H561" s="222"/>
      <c r="I561" s="216" t="str">
        <f ca="1">'Translation Table'!H114</f>
        <v>SO2</v>
      </c>
      <c r="J561" s="116" t="s">
        <v>1015</v>
      </c>
      <c r="K561" s="135"/>
      <c r="L561" s="116" t="str">
        <f t="shared" si="12"/>
        <v>NA</v>
      </c>
      <c r="M561" s="116" t="s">
        <v>1093</v>
      </c>
    </row>
    <row r="562" spans="2:17" ht="16.149999999999999" customHeight="1" x14ac:dyDescent="0.35">
      <c r="B562" s="332"/>
      <c r="C562" s="316" t="str">
        <f ca="1">'Translation Table'!H179</f>
        <v>Town gas distribution: All</v>
      </c>
      <c r="D562" s="316"/>
      <c r="E562" s="316"/>
      <c r="F562" s="317" t="str">
        <f ca="1">'Translation Table'!H263</f>
        <v>Kilometre of pipeline</v>
      </c>
      <c r="G562" s="318"/>
      <c r="H562" s="217" t="str">
        <f>H563</f>
        <v>km</v>
      </c>
      <c r="I562" s="216" t="str">
        <f ca="1">'Translation Table'!H108</f>
        <v>CH4</v>
      </c>
      <c r="J562" s="116">
        <v>0.57999999999999996</v>
      </c>
      <c r="K562" s="135"/>
      <c r="L562" s="116">
        <f t="shared" si="12"/>
        <v>0.57999999999999996</v>
      </c>
      <c r="M562" s="116" t="s">
        <v>1068</v>
      </c>
      <c r="Q562" s="133">
        <f>G562</f>
        <v>0</v>
      </c>
    </row>
    <row r="563" spans="2:17" ht="16.149999999999999" customHeight="1" x14ac:dyDescent="0.35">
      <c r="B563" s="332"/>
      <c r="C563" s="316"/>
      <c r="D563" s="316"/>
      <c r="E563" s="316"/>
      <c r="F563" s="317"/>
      <c r="G563" s="318"/>
      <c r="H563" s="230" t="s">
        <v>54</v>
      </c>
      <c r="I563" s="216" t="str">
        <f ca="1">'Translation Table'!H109</f>
        <v>CO2</v>
      </c>
      <c r="J563" s="116">
        <v>1.83E-2</v>
      </c>
      <c r="K563" s="135"/>
      <c r="L563" s="116">
        <f t="shared" si="12"/>
        <v>1.83E-2</v>
      </c>
      <c r="M563" s="116" t="s">
        <v>1068</v>
      </c>
    </row>
    <row r="564" spans="2:17" ht="16.149999999999999" customHeight="1" x14ac:dyDescent="0.35">
      <c r="B564" s="332"/>
      <c r="C564" s="316"/>
      <c r="D564" s="316"/>
      <c r="E564" s="316"/>
      <c r="F564" s="317"/>
      <c r="G564" s="318"/>
      <c r="H564" s="230"/>
      <c r="I564" s="216" t="str">
        <f ca="1">'Translation Table'!H110</f>
        <v>N2O</v>
      </c>
      <c r="J564" s="116" t="s">
        <v>1015</v>
      </c>
      <c r="K564" s="135"/>
      <c r="L564" s="116" t="str">
        <f t="shared" si="12"/>
        <v>NA</v>
      </c>
      <c r="M564" s="116" t="s">
        <v>1068</v>
      </c>
    </row>
    <row r="565" spans="2:17" ht="16.149999999999999" customHeight="1" x14ac:dyDescent="0.35">
      <c r="B565" s="332"/>
      <c r="C565" s="316"/>
      <c r="D565" s="316"/>
      <c r="E565" s="316"/>
      <c r="F565" s="317"/>
      <c r="G565" s="318"/>
      <c r="H565" s="230"/>
      <c r="I565" s="216" t="str">
        <f ca="1">'Translation Table'!H111</f>
        <v>NOx</v>
      </c>
      <c r="J565" s="116" t="s">
        <v>1015</v>
      </c>
      <c r="K565" s="135"/>
      <c r="L565" s="116" t="str">
        <f t="shared" si="12"/>
        <v>NA</v>
      </c>
      <c r="M565" s="116" t="s">
        <v>1068</v>
      </c>
    </row>
    <row r="566" spans="2:17" ht="16.149999999999999" customHeight="1" x14ac:dyDescent="0.35">
      <c r="B566" s="332"/>
      <c r="C566" s="316"/>
      <c r="D566" s="316"/>
      <c r="E566" s="316"/>
      <c r="F566" s="317"/>
      <c r="G566" s="318"/>
      <c r="H566" s="230"/>
      <c r="I566" s="216" t="str">
        <f ca="1">'Translation Table'!H112</f>
        <v>CO</v>
      </c>
      <c r="J566" s="116" t="s">
        <v>1015</v>
      </c>
      <c r="K566" s="135"/>
      <c r="L566" s="116" t="str">
        <f t="shared" si="12"/>
        <v>NA</v>
      </c>
      <c r="M566" s="116" t="s">
        <v>1068</v>
      </c>
    </row>
    <row r="567" spans="2:17" ht="16.149999999999999" customHeight="1" x14ac:dyDescent="0.35">
      <c r="B567" s="332"/>
      <c r="C567" s="316"/>
      <c r="D567" s="316"/>
      <c r="E567" s="316"/>
      <c r="F567" s="317"/>
      <c r="G567" s="318"/>
      <c r="H567" s="227"/>
      <c r="I567" s="216" t="str">
        <f ca="1">'Translation Table'!H113</f>
        <v>NMVOC</v>
      </c>
      <c r="J567" s="116" t="s">
        <v>1015</v>
      </c>
      <c r="K567" s="135"/>
      <c r="L567" s="116" t="str">
        <f t="shared" si="12"/>
        <v>NA</v>
      </c>
      <c r="M567" s="116" t="s">
        <v>1068</v>
      </c>
    </row>
    <row r="568" spans="2:17" ht="16.149999999999999" customHeight="1" x14ac:dyDescent="0.35">
      <c r="B568" s="332"/>
      <c r="C568" s="316"/>
      <c r="D568" s="316"/>
      <c r="E568" s="316"/>
      <c r="F568" s="317"/>
      <c r="G568" s="318"/>
      <c r="H568" s="222"/>
      <c r="I568" s="216" t="str">
        <f ca="1">'Translation Table'!H114</f>
        <v>SO2</v>
      </c>
      <c r="J568" s="116" t="s">
        <v>1015</v>
      </c>
      <c r="K568" s="135"/>
      <c r="L568" s="116" t="str">
        <f t="shared" si="12"/>
        <v>NA</v>
      </c>
      <c r="M568" s="116" t="s">
        <v>1068</v>
      </c>
    </row>
    <row r="569" spans="2:17" ht="16.149999999999999" customHeight="1" x14ac:dyDescent="0.35">
      <c r="B569" s="332" t="str">
        <f ca="1">'Translation Table'!H127</f>
        <v>Gas Post-Meter</v>
      </c>
      <c r="C569" s="316" t="str">
        <f ca="1">'Translation Table'!H180</f>
        <v>Natural gas-fuelled vehicles</v>
      </c>
      <c r="D569" s="316"/>
      <c r="E569" s="316"/>
      <c r="F569" s="317" t="str">
        <f ca="1">'Translation Table'!H264</f>
        <v>Car</v>
      </c>
      <c r="G569" s="318"/>
      <c r="H569" s="217" t="str">
        <f ca="1">H570</f>
        <v>Car Count</v>
      </c>
      <c r="I569" s="216" t="str">
        <f ca="1">'Translation Table'!H108</f>
        <v>CH4</v>
      </c>
      <c r="J569" s="116">
        <v>2.9999999999999997E-4</v>
      </c>
      <c r="K569" s="135"/>
      <c r="L569" s="116">
        <f t="shared" si="12"/>
        <v>2.9999999999999997E-4</v>
      </c>
      <c r="M569" s="116" t="s">
        <v>1141</v>
      </c>
      <c r="Q569" s="133">
        <f>G569</f>
        <v>0</v>
      </c>
    </row>
    <row r="570" spans="2:17" ht="16.149999999999999" customHeight="1" x14ac:dyDescent="0.35">
      <c r="B570" s="332"/>
      <c r="C570" s="316"/>
      <c r="D570" s="316"/>
      <c r="E570" s="316"/>
      <c r="F570" s="317"/>
      <c r="G570" s="318"/>
      <c r="H570" s="230" t="str">
        <f ca="1">'Translation Table'!H271</f>
        <v>Car Count</v>
      </c>
      <c r="I570" s="216" t="str">
        <f ca="1">'Translation Table'!H109</f>
        <v>CO2</v>
      </c>
      <c r="J570" s="116">
        <v>2.3E-6</v>
      </c>
      <c r="K570" s="135"/>
      <c r="L570" s="116">
        <f t="shared" si="12"/>
        <v>2.3E-6</v>
      </c>
      <c r="M570" s="116" t="s">
        <v>1141</v>
      </c>
    </row>
    <row r="571" spans="2:17" ht="16.149999999999999" customHeight="1" x14ac:dyDescent="0.35">
      <c r="B571" s="332"/>
      <c r="C571" s="316"/>
      <c r="D571" s="316"/>
      <c r="E571" s="316"/>
      <c r="F571" s="317"/>
      <c r="G571" s="318"/>
      <c r="H571" s="230"/>
      <c r="I571" s="216" t="str">
        <f ca="1">'Translation Table'!H110</f>
        <v>N2O</v>
      </c>
      <c r="J571" s="116" t="s">
        <v>1015</v>
      </c>
      <c r="K571" s="135"/>
      <c r="L571" s="116" t="str">
        <f t="shared" si="12"/>
        <v>NA</v>
      </c>
      <c r="M571" s="116" t="s">
        <v>1141</v>
      </c>
    </row>
    <row r="572" spans="2:17" ht="16.149999999999999" customHeight="1" x14ac:dyDescent="0.35">
      <c r="B572" s="332"/>
      <c r="C572" s="316"/>
      <c r="D572" s="316"/>
      <c r="E572" s="316"/>
      <c r="F572" s="317"/>
      <c r="G572" s="318"/>
      <c r="H572" s="230"/>
      <c r="I572" s="216" t="str">
        <f ca="1">'Translation Table'!H111</f>
        <v>NOx</v>
      </c>
      <c r="J572" s="116" t="s">
        <v>1015</v>
      </c>
      <c r="K572" s="135"/>
      <c r="L572" s="116" t="str">
        <f t="shared" si="12"/>
        <v>NA</v>
      </c>
      <c r="M572" s="116" t="s">
        <v>1141</v>
      </c>
    </row>
    <row r="573" spans="2:17" ht="16.149999999999999" customHeight="1" x14ac:dyDescent="0.35">
      <c r="B573" s="332"/>
      <c r="C573" s="316"/>
      <c r="D573" s="316"/>
      <c r="E573" s="316"/>
      <c r="F573" s="317"/>
      <c r="G573" s="318"/>
      <c r="H573" s="230"/>
      <c r="I573" s="216" t="str">
        <f ca="1">'Translation Table'!H112</f>
        <v>CO</v>
      </c>
      <c r="J573" s="116" t="s">
        <v>1015</v>
      </c>
      <c r="K573" s="135"/>
      <c r="L573" s="116" t="str">
        <f t="shared" si="12"/>
        <v>NA</v>
      </c>
      <c r="M573" s="116" t="s">
        <v>1141</v>
      </c>
    </row>
    <row r="574" spans="2:17" ht="16.149999999999999" customHeight="1" x14ac:dyDescent="0.35">
      <c r="B574" s="332"/>
      <c r="C574" s="316"/>
      <c r="D574" s="316"/>
      <c r="E574" s="316"/>
      <c r="F574" s="317"/>
      <c r="G574" s="318"/>
      <c r="H574" s="227"/>
      <c r="I574" s="216" t="str">
        <f ca="1">'Translation Table'!H113</f>
        <v>NMVOC</v>
      </c>
      <c r="J574" s="116">
        <v>7.9999999999999996E-6</v>
      </c>
      <c r="K574" s="135"/>
      <c r="L574" s="116">
        <f t="shared" si="12"/>
        <v>7.9999999999999996E-6</v>
      </c>
      <c r="M574" s="116" t="s">
        <v>1141</v>
      </c>
    </row>
    <row r="575" spans="2:17" ht="16.149999999999999" customHeight="1" x14ac:dyDescent="0.35">
      <c r="B575" s="332"/>
      <c r="C575" s="316"/>
      <c r="D575" s="316"/>
      <c r="E575" s="316"/>
      <c r="F575" s="317"/>
      <c r="G575" s="318"/>
      <c r="H575" s="222"/>
      <c r="I575" s="216" t="str">
        <f ca="1">'Translation Table'!H114</f>
        <v>SO2</v>
      </c>
      <c r="J575" s="116" t="s">
        <v>1015</v>
      </c>
      <c r="K575" s="135"/>
      <c r="L575" s="116" t="str">
        <f t="shared" si="12"/>
        <v>NA</v>
      </c>
      <c r="M575" s="116" t="s">
        <v>1141</v>
      </c>
    </row>
    <row r="576" spans="2:17" ht="16.149999999999999" customHeight="1" x14ac:dyDescent="0.35">
      <c r="B576" s="332"/>
      <c r="C576" s="316" t="str">
        <f ca="1">'Translation Table'!H181</f>
        <v>Appliances in commercial and residential sector</v>
      </c>
      <c r="D576" s="316"/>
      <c r="E576" s="316"/>
      <c r="F576" s="317" t="str">
        <f ca="1">'Translation Table'!H265</f>
        <v>Appliance</v>
      </c>
      <c r="G576" s="318"/>
      <c r="H576" s="217" t="str">
        <f ca="1">H577</f>
        <v>Appliance Count</v>
      </c>
      <c r="I576" s="216" t="str">
        <f ca="1">'Translation Table'!H108</f>
        <v>CH4</v>
      </c>
      <c r="J576" s="116">
        <v>4.0000000000000001E-3</v>
      </c>
      <c r="K576" s="135"/>
      <c r="L576" s="116">
        <f t="shared" si="12"/>
        <v>4.0000000000000001E-3</v>
      </c>
      <c r="M576" s="116" t="s">
        <v>1142</v>
      </c>
      <c r="Q576" s="133">
        <f>G576</f>
        <v>0</v>
      </c>
    </row>
    <row r="577" spans="2:17" ht="16.149999999999999" customHeight="1" x14ac:dyDescent="0.35">
      <c r="B577" s="332"/>
      <c r="C577" s="316"/>
      <c r="D577" s="316"/>
      <c r="E577" s="316"/>
      <c r="F577" s="317"/>
      <c r="G577" s="318"/>
      <c r="H577" s="230" t="str">
        <f ca="1">'Translation Table'!H272</f>
        <v>Appliance Count</v>
      </c>
      <c r="I577" s="216" t="str">
        <f ca="1">'Translation Table'!H109</f>
        <v>CO2</v>
      </c>
      <c r="J577" s="116">
        <v>3.3000000000000003E-5</v>
      </c>
      <c r="K577" s="135"/>
      <c r="L577" s="116">
        <f t="shared" si="12"/>
        <v>3.3000000000000003E-5</v>
      </c>
      <c r="M577" s="116" t="s">
        <v>1142</v>
      </c>
    </row>
    <row r="578" spans="2:17" ht="16.149999999999999" customHeight="1" x14ac:dyDescent="0.35">
      <c r="B578" s="332"/>
      <c r="C578" s="316"/>
      <c r="D578" s="316"/>
      <c r="E578" s="316"/>
      <c r="F578" s="317"/>
      <c r="G578" s="318"/>
      <c r="H578" s="230"/>
      <c r="I578" s="216" t="str">
        <f ca="1">'Translation Table'!H110</f>
        <v>N2O</v>
      </c>
      <c r="J578" s="116" t="s">
        <v>1015</v>
      </c>
      <c r="K578" s="135"/>
      <c r="L578" s="116" t="str">
        <f t="shared" si="12"/>
        <v>NA</v>
      </c>
      <c r="M578" s="116" t="s">
        <v>1142</v>
      </c>
    </row>
    <row r="579" spans="2:17" ht="16.149999999999999" customHeight="1" x14ac:dyDescent="0.35">
      <c r="B579" s="332"/>
      <c r="C579" s="316"/>
      <c r="D579" s="316"/>
      <c r="E579" s="316"/>
      <c r="F579" s="317"/>
      <c r="G579" s="318"/>
      <c r="H579" s="230"/>
      <c r="I579" s="216" t="str">
        <f ca="1">'Translation Table'!H111</f>
        <v>NOx</v>
      </c>
      <c r="J579" s="116" t="s">
        <v>1015</v>
      </c>
      <c r="K579" s="135"/>
      <c r="L579" s="116" t="str">
        <f t="shared" si="12"/>
        <v>NA</v>
      </c>
      <c r="M579" s="116" t="s">
        <v>1142</v>
      </c>
    </row>
    <row r="580" spans="2:17" ht="16.149999999999999" customHeight="1" x14ac:dyDescent="0.35">
      <c r="B580" s="332"/>
      <c r="C580" s="316"/>
      <c r="D580" s="316"/>
      <c r="E580" s="316"/>
      <c r="F580" s="317"/>
      <c r="G580" s="318"/>
      <c r="H580" s="230"/>
      <c r="I580" s="216" t="str">
        <f ca="1">'Translation Table'!H112</f>
        <v>CO</v>
      </c>
      <c r="J580" s="116" t="s">
        <v>1015</v>
      </c>
      <c r="K580" s="135"/>
      <c r="L580" s="116" t="str">
        <f t="shared" si="12"/>
        <v>NA</v>
      </c>
      <c r="M580" s="116" t="s">
        <v>1142</v>
      </c>
    </row>
    <row r="581" spans="2:17" ht="16.149999999999999" customHeight="1" x14ac:dyDescent="0.35">
      <c r="B581" s="332"/>
      <c r="C581" s="316"/>
      <c r="D581" s="316"/>
      <c r="E581" s="316"/>
      <c r="F581" s="317"/>
      <c r="G581" s="318"/>
      <c r="H581" s="227"/>
      <c r="I581" s="216" t="str">
        <f ca="1">'Translation Table'!H113</f>
        <v>NMVOC</v>
      </c>
      <c r="J581" s="116">
        <v>1E-4</v>
      </c>
      <c r="K581" s="135"/>
      <c r="L581" s="116">
        <f t="shared" si="12"/>
        <v>1E-4</v>
      </c>
      <c r="M581" s="116" t="s">
        <v>1142</v>
      </c>
    </row>
    <row r="582" spans="2:17" ht="16.149999999999999" customHeight="1" x14ac:dyDescent="0.35">
      <c r="B582" s="332"/>
      <c r="C582" s="316"/>
      <c r="D582" s="316"/>
      <c r="E582" s="316"/>
      <c r="F582" s="317"/>
      <c r="G582" s="318"/>
      <c r="H582" s="222"/>
      <c r="I582" s="216" t="str">
        <f ca="1">'Translation Table'!H114</f>
        <v>SO2</v>
      </c>
      <c r="J582" s="116" t="s">
        <v>1015</v>
      </c>
      <c r="K582" s="135"/>
      <c r="L582" s="116" t="str">
        <f t="shared" si="12"/>
        <v>NA</v>
      </c>
      <c r="M582" s="116" t="s">
        <v>1142</v>
      </c>
    </row>
    <row r="583" spans="2:17" ht="16.149999999999999" customHeight="1" x14ac:dyDescent="0.35">
      <c r="B583" s="332"/>
      <c r="C583" s="316" t="str">
        <f ca="1">'Translation Table'!H182</f>
        <v>Leakage at industrial plants and power stations</v>
      </c>
      <c r="D583" s="316"/>
      <c r="E583" s="316"/>
      <c r="F583" s="317" t="str">
        <f ca="1">'Translation Table'!H266</f>
        <v>Non-residential and commercial gas consumed</v>
      </c>
      <c r="G583" s="318"/>
      <c r="H583" s="223" t="str">
        <f ca="1">INDIRECT("'Lookup Tables'!B"&amp;78+P583) &amp;""</f>
        <v>E+06 m^3/y</v>
      </c>
      <c r="I583" s="216" t="str">
        <f ca="1">'Translation Table'!H108</f>
        <v>CH4</v>
      </c>
      <c r="J583" s="116">
        <v>0.4</v>
      </c>
      <c r="K583" s="135"/>
      <c r="L583" s="116">
        <f t="shared" si="12"/>
        <v>0.4</v>
      </c>
      <c r="M583" s="116" t="s">
        <v>1093</v>
      </c>
      <c r="P583" s="133">
        <v>3</v>
      </c>
      <c r="Q583" s="133">
        <f ca="1">(INDIRECT("'Lookup Tables'!D"&amp;78+P583) &amp;"")*G583</f>
        <v>0</v>
      </c>
    </row>
    <row r="584" spans="2:17" ht="16.149999999999999" customHeight="1" x14ac:dyDescent="0.35">
      <c r="B584" s="332"/>
      <c r="C584" s="316"/>
      <c r="D584" s="316"/>
      <c r="E584" s="316"/>
      <c r="F584" s="317"/>
      <c r="G584" s="318"/>
      <c r="H584" s="224"/>
      <c r="I584" s="216" t="str">
        <f ca="1">'Translation Table'!H109</f>
        <v>CO2</v>
      </c>
      <c r="J584" s="116">
        <v>3.3E-3</v>
      </c>
      <c r="K584" s="135"/>
      <c r="L584" s="116">
        <f t="shared" si="12"/>
        <v>3.3E-3</v>
      </c>
      <c r="M584" s="116" t="s">
        <v>1093</v>
      </c>
    </row>
    <row r="585" spans="2:17" ht="16.149999999999999" customHeight="1" x14ac:dyDescent="0.35">
      <c r="B585" s="332"/>
      <c r="C585" s="316"/>
      <c r="D585" s="316"/>
      <c r="E585" s="316"/>
      <c r="F585" s="317"/>
      <c r="G585" s="318"/>
      <c r="H585" s="224"/>
      <c r="I585" s="216" t="str">
        <f ca="1">'Translation Table'!H110</f>
        <v>N2O</v>
      </c>
      <c r="J585" s="116" t="s">
        <v>1015</v>
      </c>
      <c r="K585" s="135"/>
      <c r="L585" s="116" t="str">
        <f t="shared" si="12"/>
        <v>NA</v>
      </c>
      <c r="M585" s="116" t="s">
        <v>1093</v>
      </c>
    </row>
    <row r="586" spans="2:17" ht="16.149999999999999" customHeight="1" x14ac:dyDescent="0.35">
      <c r="B586" s="332"/>
      <c r="C586" s="316"/>
      <c r="D586" s="316"/>
      <c r="E586" s="316"/>
      <c r="F586" s="317"/>
      <c r="G586" s="318"/>
      <c r="H586" s="224"/>
      <c r="I586" s="216" t="str">
        <f ca="1">'Translation Table'!H111</f>
        <v>NOx</v>
      </c>
      <c r="J586" s="116" t="s">
        <v>1015</v>
      </c>
      <c r="K586" s="135"/>
      <c r="L586" s="116" t="str">
        <f t="shared" si="12"/>
        <v>NA</v>
      </c>
      <c r="M586" s="116" t="s">
        <v>1093</v>
      </c>
    </row>
    <row r="587" spans="2:17" ht="16.149999999999999" customHeight="1" x14ac:dyDescent="0.35">
      <c r="B587" s="332"/>
      <c r="C587" s="316"/>
      <c r="D587" s="316"/>
      <c r="E587" s="316"/>
      <c r="F587" s="317"/>
      <c r="G587" s="318"/>
      <c r="H587" s="224"/>
      <c r="I587" s="216" t="str">
        <f ca="1">'Translation Table'!H112</f>
        <v>CO</v>
      </c>
      <c r="J587" s="116" t="s">
        <v>1015</v>
      </c>
      <c r="K587" s="135"/>
      <c r="L587" s="116" t="str">
        <f t="shared" si="12"/>
        <v>NA</v>
      </c>
      <c r="M587" s="116" t="s">
        <v>1093</v>
      </c>
    </row>
    <row r="588" spans="2:17" ht="16.149999999999999" customHeight="1" x14ac:dyDescent="0.35">
      <c r="B588" s="332"/>
      <c r="C588" s="316"/>
      <c r="D588" s="316"/>
      <c r="E588" s="316"/>
      <c r="F588" s="317"/>
      <c r="G588" s="318"/>
      <c r="H588" s="227"/>
      <c r="I588" s="216" t="str">
        <f ca="1">'Translation Table'!H113</f>
        <v>NMVOC</v>
      </c>
      <c r="J588" s="116">
        <v>0.01</v>
      </c>
      <c r="K588" s="135"/>
      <c r="L588" s="116">
        <f t="shared" si="12"/>
        <v>0.01</v>
      </c>
      <c r="M588" s="116" t="s">
        <v>1093</v>
      </c>
    </row>
    <row r="589" spans="2:17" ht="16.149999999999999" customHeight="1" x14ac:dyDescent="0.35">
      <c r="B589" s="332"/>
      <c r="C589" s="316"/>
      <c r="D589" s="316"/>
      <c r="E589" s="316"/>
      <c r="F589" s="317"/>
      <c r="G589" s="318"/>
      <c r="H589" s="222"/>
      <c r="I589" s="216" t="str">
        <f ca="1">'Translation Table'!H114</f>
        <v>SO2</v>
      </c>
      <c r="J589" s="116" t="s">
        <v>1015</v>
      </c>
      <c r="K589" s="135"/>
      <c r="L589" s="116" t="str">
        <f t="shared" si="12"/>
        <v>NA</v>
      </c>
      <c r="M589" s="116" t="s">
        <v>1093</v>
      </c>
    </row>
    <row r="590" spans="2:17" ht="16.149999999999999" customHeight="1" x14ac:dyDescent="0.35">
      <c r="B590" s="332" t="str">
        <f ca="1">'Translation Table'!H128</f>
        <v>Gas Other</v>
      </c>
      <c r="C590" s="338" t="str">
        <f ca="1">'Translation Table'!H183</f>
        <v>All</v>
      </c>
      <c r="D590" s="338"/>
      <c r="E590" s="338"/>
      <c r="F590" s="332" t="str">
        <f ca="1">'Translation Table'!H267</f>
        <v>Other</v>
      </c>
      <c r="G590" s="318"/>
      <c r="H590" s="229" t="str">
        <f ca="1">H591</f>
        <v>Well Count</v>
      </c>
      <c r="I590" s="216" t="str">
        <f ca="1">'Translation Table'!H108</f>
        <v>CH4</v>
      </c>
      <c r="J590" s="116" t="s">
        <v>1015</v>
      </c>
      <c r="K590" s="135"/>
      <c r="L590" s="116" t="str">
        <f t="shared" si="12"/>
        <v>NA</v>
      </c>
      <c r="M590" s="116" t="s">
        <v>1110</v>
      </c>
      <c r="Q590" s="133">
        <f>G590</f>
        <v>0</v>
      </c>
    </row>
    <row r="591" spans="2:17" ht="16.149999999999999" customHeight="1" x14ac:dyDescent="0.35">
      <c r="B591" s="332"/>
      <c r="C591" s="338"/>
      <c r="D591" s="338"/>
      <c r="E591" s="338"/>
      <c r="F591" s="332"/>
      <c r="G591" s="318"/>
      <c r="H591" s="221" t="str">
        <f ca="1">'Translation Table'!H269</f>
        <v>Well Count</v>
      </c>
      <c r="I591" s="216" t="str">
        <f ca="1">'Translation Table'!H109</f>
        <v>CO2</v>
      </c>
      <c r="J591" s="116" t="s">
        <v>1015</v>
      </c>
      <c r="K591" s="135"/>
      <c r="L591" s="116" t="str">
        <f t="shared" si="12"/>
        <v>NA</v>
      </c>
      <c r="M591" s="116" t="s">
        <v>1110</v>
      </c>
    </row>
    <row r="592" spans="2:17" ht="16.149999999999999" customHeight="1" x14ac:dyDescent="0.35">
      <c r="B592" s="332"/>
      <c r="C592" s="338"/>
      <c r="D592" s="338"/>
      <c r="E592" s="338"/>
      <c r="F592" s="332"/>
      <c r="G592" s="318"/>
      <c r="H592" s="221"/>
      <c r="I592" s="216" t="str">
        <f ca="1">'Translation Table'!H110</f>
        <v>N2O</v>
      </c>
      <c r="J592" s="116" t="s">
        <v>1015</v>
      </c>
      <c r="K592" s="135"/>
      <c r="L592" s="116" t="str">
        <f t="shared" si="12"/>
        <v>NA</v>
      </c>
      <c r="M592" s="116" t="s">
        <v>1110</v>
      </c>
    </row>
    <row r="593" spans="2:17" ht="16.149999999999999" customHeight="1" x14ac:dyDescent="0.35">
      <c r="B593" s="332"/>
      <c r="C593" s="338"/>
      <c r="D593" s="338"/>
      <c r="E593" s="338"/>
      <c r="F593" s="332"/>
      <c r="G593" s="318"/>
      <c r="H593" s="221"/>
      <c r="I593" s="216" t="str">
        <f ca="1">'Translation Table'!H111</f>
        <v>NOx</v>
      </c>
      <c r="J593" s="116" t="s">
        <v>1015</v>
      </c>
      <c r="K593" s="135"/>
      <c r="L593" s="116" t="str">
        <f t="shared" si="12"/>
        <v>NA</v>
      </c>
      <c r="M593" s="116" t="s">
        <v>1110</v>
      </c>
    </row>
    <row r="594" spans="2:17" ht="16.149999999999999" customHeight="1" x14ac:dyDescent="0.35">
      <c r="B594" s="332"/>
      <c r="C594" s="338"/>
      <c r="D594" s="338"/>
      <c r="E594" s="338"/>
      <c r="F594" s="332"/>
      <c r="G594" s="318"/>
      <c r="H594" s="221"/>
      <c r="I594" s="216" t="str">
        <f ca="1">'Translation Table'!H112</f>
        <v>CO</v>
      </c>
      <c r="J594" s="116" t="s">
        <v>1015</v>
      </c>
      <c r="K594" s="135"/>
      <c r="L594" s="116" t="str">
        <f t="shared" si="12"/>
        <v>NA</v>
      </c>
      <c r="M594" s="116" t="s">
        <v>1110</v>
      </c>
    </row>
    <row r="595" spans="2:17" ht="16.149999999999999" customHeight="1" x14ac:dyDescent="0.35">
      <c r="B595" s="332"/>
      <c r="C595" s="338"/>
      <c r="D595" s="338"/>
      <c r="E595" s="338"/>
      <c r="F595" s="332"/>
      <c r="G595" s="318"/>
      <c r="H595" s="227"/>
      <c r="I595" s="216" t="str">
        <f ca="1">'Translation Table'!H113</f>
        <v>NMVOC</v>
      </c>
      <c r="J595" s="116" t="s">
        <v>1015</v>
      </c>
      <c r="K595" s="135"/>
      <c r="L595" s="116" t="str">
        <f t="shared" si="12"/>
        <v>NA</v>
      </c>
      <c r="M595" s="116" t="s">
        <v>1110</v>
      </c>
    </row>
    <row r="596" spans="2:17" ht="16.149999999999999" customHeight="1" x14ac:dyDescent="0.35">
      <c r="B596" s="332"/>
      <c r="C596" s="338"/>
      <c r="D596" s="338"/>
      <c r="E596" s="338"/>
      <c r="F596" s="332"/>
      <c r="G596" s="318"/>
      <c r="H596" s="222"/>
      <c r="I596" s="216" t="str">
        <f ca="1">'Translation Table'!H114</f>
        <v>SO2</v>
      </c>
      <c r="J596" s="116" t="s">
        <v>1015</v>
      </c>
      <c r="K596" s="135"/>
      <c r="L596" s="116" t="str">
        <f t="shared" si="12"/>
        <v>NA</v>
      </c>
      <c r="M596" s="116" t="s">
        <v>1110</v>
      </c>
    </row>
    <row r="597" spans="2:17" ht="16.149999999999999" customHeight="1" x14ac:dyDescent="0.35">
      <c r="B597" s="340" t="str">
        <f ca="1">'Translation Table'!H129</f>
        <v>Abandoned Gas Wells</v>
      </c>
      <c r="C597" s="338" t="str">
        <f ca="1">'Translation Table'!H184</f>
        <v>All</v>
      </c>
      <c r="D597" s="338"/>
      <c r="E597" s="338"/>
      <c r="F597" s="317" t="str">
        <f ca="1">'Translation Table'!H268</f>
        <v>Abandoned Gas Wells</v>
      </c>
      <c r="G597" s="318"/>
      <c r="H597" s="217" t="str">
        <f ca="1">H598</f>
        <v>Well Count</v>
      </c>
      <c r="I597" s="216" t="str">
        <f ca="1">'Translation Table'!H108</f>
        <v>CH4</v>
      </c>
      <c r="J597" s="116" t="s">
        <v>1015</v>
      </c>
      <c r="K597" s="135"/>
      <c r="L597" s="116" t="str">
        <f t="shared" si="12"/>
        <v>NA</v>
      </c>
      <c r="M597" s="116" t="s">
        <v>1110</v>
      </c>
      <c r="Q597" s="133">
        <f>G597</f>
        <v>0</v>
      </c>
    </row>
    <row r="598" spans="2:17" ht="16.149999999999999" customHeight="1" x14ac:dyDescent="0.35">
      <c r="B598" s="340"/>
      <c r="C598" s="338"/>
      <c r="D598" s="338"/>
      <c r="E598" s="338"/>
      <c r="F598" s="317"/>
      <c r="G598" s="318"/>
      <c r="H598" s="219" t="str">
        <f ca="1">'Translation Table'!H269</f>
        <v>Well Count</v>
      </c>
      <c r="I598" s="216" t="str">
        <f ca="1">'Translation Table'!H109</f>
        <v>CO2</v>
      </c>
      <c r="J598" s="116" t="s">
        <v>1015</v>
      </c>
      <c r="K598" s="135"/>
      <c r="L598" s="116" t="str">
        <f t="shared" si="12"/>
        <v>NA</v>
      </c>
      <c r="M598" s="116" t="s">
        <v>1110</v>
      </c>
    </row>
    <row r="599" spans="2:17" ht="16.149999999999999" customHeight="1" x14ac:dyDescent="0.35">
      <c r="B599" s="340"/>
      <c r="C599" s="338"/>
      <c r="D599" s="338"/>
      <c r="E599" s="338"/>
      <c r="F599" s="317"/>
      <c r="G599" s="318"/>
      <c r="H599" s="219"/>
      <c r="I599" s="216" t="str">
        <f ca="1">'Translation Table'!H110</f>
        <v>N2O</v>
      </c>
      <c r="J599" s="116" t="s">
        <v>1015</v>
      </c>
      <c r="K599" s="135"/>
      <c r="L599" s="116" t="str">
        <f t="shared" ref="L599:L603" si="13">IF(OR(K599="",K599="NA"),J599,K599)</f>
        <v>NA</v>
      </c>
      <c r="M599" s="116" t="s">
        <v>1110</v>
      </c>
    </row>
    <row r="600" spans="2:17" ht="16.149999999999999" customHeight="1" x14ac:dyDescent="0.35">
      <c r="B600" s="340"/>
      <c r="C600" s="338"/>
      <c r="D600" s="338"/>
      <c r="E600" s="338"/>
      <c r="F600" s="317"/>
      <c r="G600" s="318"/>
      <c r="H600" s="219"/>
      <c r="I600" s="216" t="str">
        <f ca="1">'Translation Table'!H111</f>
        <v>NOx</v>
      </c>
      <c r="J600" s="116" t="s">
        <v>1015</v>
      </c>
      <c r="K600" s="135"/>
      <c r="L600" s="116" t="str">
        <f t="shared" si="13"/>
        <v>NA</v>
      </c>
      <c r="M600" s="116" t="s">
        <v>1110</v>
      </c>
    </row>
    <row r="601" spans="2:17" ht="16.149999999999999" customHeight="1" x14ac:dyDescent="0.35">
      <c r="B601" s="340"/>
      <c r="C601" s="338"/>
      <c r="D601" s="338"/>
      <c r="E601" s="338"/>
      <c r="F601" s="317"/>
      <c r="G601" s="318"/>
      <c r="H601" s="219"/>
      <c r="I601" s="216" t="str">
        <f ca="1">'Translation Table'!H112</f>
        <v>CO</v>
      </c>
      <c r="J601" s="116" t="s">
        <v>1015</v>
      </c>
      <c r="K601" s="135"/>
      <c r="L601" s="116" t="str">
        <f t="shared" si="13"/>
        <v>NA</v>
      </c>
      <c r="M601" s="116" t="s">
        <v>1110</v>
      </c>
    </row>
    <row r="602" spans="2:17" ht="16.149999999999999" customHeight="1" x14ac:dyDescent="0.35">
      <c r="B602" s="340"/>
      <c r="C602" s="338"/>
      <c r="D602" s="338"/>
      <c r="E602" s="338"/>
      <c r="F602" s="317"/>
      <c r="G602" s="318"/>
      <c r="H602" s="227"/>
      <c r="I602" s="216" t="str">
        <f ca="1">'Translation Table'!H113</f>
        <v>NMVOC</v>
      </c>
      <c r="J602" s="116" t="s">
        <v>1015</v>
      </c>
      <c r="K602" s="135"/>
      <c r="L602" s="116" t="str">
        <f t="shared" si="13"/>
        <v>NA</v>
      </c>
      <c r="M602" s="116" t="s">
        <v>1110</v>
      </c>
    </row>
    <row r="603" spans="2:17" ht="16.149999999999999" customHeight="1" x14ac:dyDescent="0.35">
      <c r="B603" s="340"/>
      <c r="C603" s="338"/>
      <c r="D603" s="338"/>
      <c r="E603" s="338"/>
      <c r="F603" s="317"/>
      <c r="G603" s="318"/>
      <c r="H603" s="222"/>
      <c r="I603" s="216" t="str">
        <f ca="1">'Translation Table'!H114</f>
        <v>SO2</v>
      </c>
      <c r="J603" s="116" t="s">
        <v>1015</v>
      </c>
      <c r="K603" s="135"/>
      <c r="L603" s="116" t="str">
        <f t="shared" si="13"/>
        <v>NA</v>
      </c>
      <c r="M603" s="116" t="s">
        <v>1110</v>
      </c>
    </row>
    <row r="604" spans="2:17" x14ac:dyDescent="0.35">
      <c r="F604" s="120"/>
    </row>
  </sheetData>
  <mergeCells count="269">
    <mergeCell ref="G590:G596"/>
    <mergeCell ref="G198:G204"/>
    <mergeCell ref="C177:E183"/>
    <mergeCell ref="F177:F183"/>
    <mergeCell ref="G177:G183"/>
    <mergeCell ref="C191:E197"/>
    <mergeCell ref="F191:F197"/>
    <mergeCell ref="G191:G197"/>
    <mergeCell ref="C429:E435"/>
    <mergeCell ref="C436:E449"/>
    <mergeCell ref="C478:E484"/>
    <mergeCell ref="C506:E519"/>
    <mergeCell ref="C569:E575"/>
    <mergeCell ref="F289:F295"/>
    <mergeCell ref="G289:G295"/>
    <mergeCell ref="F296:F302"/>
    <mergeCell ref="G296:G302"/>
    <mergeCell ref="F380:F386"/>
    <mergeCell ref="F373:F379"/>
    <mergeCell ref="G373:G379"/>
    <mergeCell ref="C380:E386"/>
    <mergeCell ref="C401:E414"/>
    <mergeCell ref="G205:G211"/>
    <mergeCell ref="C219:E225"/>
    <mergeCell ref="G317:G323"/>
    <mergeCell ref="F282:F288"/>
    <mergeCell ref="G282:G288"/>
    <mergeCell ref="C233:E239"/>
    <mergeCell ref="C240:E246"/>
    <mergeCell ref="C254:E260"/>
    <mergeCell ref="F240:F246"/>
    <mergeCell ref="G212:G218"/>
    <mergeCell ref="F219:F225"/>
    <mergeCell ref="G219:G225"/>
    <mergeCell ref="C226:E232"/>
    <mergeCell ref="F275:F281"/>
    <mergeCell ref="C247:E253"/>
    <mergeCell ref="F303:F309"/>
    <mergeCell ref="G303:G309"/>
    <mergeCell ref="F310:F316"/>
    <mergeCell ref="G310:G316"/>
    <mergeCell ref="F387:F393"/>
    <mergeCell ref="C303:E323"/>
    <mergeCell ref="F261:F267"/>
    <mergeCell ref="F86:F92"/>
    <mergeCell ref="G86:G92"/>
    <mergeCell ref="F93:F99"/>
    <mergeCell ref="G149:G155"/>
    <mergeCell ref="G114:G120"/>
    <mergeCell ref="G121:G127"/>
    <mergeCell ref="G163:G169"/>
    <mergeCell ref="C170:E176"/>
    <mergeCell ref="F170:F176"/>
    <mergeCell ref="G170:G176"/>
    <mergeCell ref="C324:E337"/>
    <mergeCell ref="C338:E351"/>
    <mergeCell ref="G184:G190"/>
    <mergeCell ref="G93:G99"/>
    <mergeCell ref="F226:F232"/>
    <mergeCell ref="G226:G232"/>
    <mergeCell ref="F233:F239"/>
    <mergeCell ref="G233:G239"/>
    <mergeCell ref="C142:E148"/>
    <mergeCell ref="F142:F148"/>
    <mergeCell ref="F317:F323"/>
    <mergeCell ref="I21:I22"/>
    <mergeCell ref="L10:M10"/>
    <mergeCell ref="F10:H10"/>
    <mergeCell ref="B10:B11"/>
    <mergeCell ref="C10:E11"/>
    <mergeCell ref="B12:B17"/>
    <mergeCell ref="C12:E14"/>
    <mergeCell ref="C15:E17"/>
    <mergeCell ref="I10:K10"/>
    <mergeCell ref="J21:M21"/>
    <mergeCell ref="F21:F22"/>
    <mergeCell ref="G21:G22"/>
    <mergeCell ref="H21:H22"/>
    <mergeCell ref="C21:E22"/>
    <mergeCell ref="G72:G78"/>
    <mergeCell ref="G79:G85"/>
    <mergeCell ref="G156:G162"/>
    <mergeCell ref="G142:G148"/>
    <mergeCell ref="C86:E99"/>
    <mergeCell ref="G100:G106"/>
    <mergeCell ref="F128:F134"/>
    <mergeCell ref="G128:G134"/>
    <mergeCell ref="F107:F113"/>
    <mergeCell ref="G107:G113"/>
    <mergeCell ref="C65:E85"/>
    <mergeCell ref="F65:F71"/>
    <mergeCell ref="F72:F78"/>
    <mergeCell ref="F79:F85"/>
    <mergeCell ref="G65:G71"/>
    <mergeCell ref="G135:G141"/>
    <mergeCell ref="C450:E463"/>
    <mergeCell ref="F450:F456"/>
    <mergeCell ref="G450:G456"/>
    <mergeCell ref="F457:F463"/>
    <mergeCell ref="G457:G463"/>
    <mergeCell ref="F324:F330"/>
    <mergeCell ref="G324:G330"/>
    <mergeCell ref="F331:F337"/>
    <mergeCell ref="G331:G337"/>
    <mergeCell ref="F338:F344"/>
    <mergeCell ref="G338:G344"/>
    <mergeCell ref="F401:F407"/>
    <mergeCell ref="G401:G407"/>
    <mergeCell ref="F408:F414"/>
    <mergeCell ref="G408:G414"/>
    <mergeCell ref="G387:G393"/>
    <mergeCell ref="F394:F400"/>
    <mergeCell ref="G394:G400"/>
    <mergeCell ref="C373:E379"/>
    <mergeCell ref="C366:E372"/>
    <mergeCell ref="F366:F372"/>
    <mergeCell ref="G366:G372"/>
    <mergeCell ref="G380:G386"/>
    <mergeCell ref="C387:E400"/>
    <mergeCell ref="G583:G589"/>
    <mergeCell ref="F548:F554"/>
    <mergeCell ref="G548:G554"/>
    <mergeCell ref="F429:F435"/>
    <mergeCell ref="G429:G435"/>
    <mergeCell ref="F436:F442"/>
    <mergeCell ref="G436:G442"/>
    <mergeCell ref="F443:F449"/>
    <mergeCell ref="G443:G449"/>
    <mergeCell ref="F555:F561"/>
    <mergeCell ref="G555:G561"/>
    <mergeCell ref="F562:F568"/>
    <mergeCell ref="G562:G568"/>
    <mergeCell ref="C548:E561"/>
    <mergeCell ref="C520:E533"/>
    <mergeCell ref="G478:G484"/>
    <mergeCell ref="C485:E491"/>
    <mergeCell ref="F485:F491"/>
    <mergeCell ref="G485:G491"/>
    <mergeCell ref="C492:E498"/>
    <mergeCell ref="F492:F498"/>
    <mergeCell ref="G492:G498"/>
    <mergeCell ref="C499:E505"/>
    <mergeCell ref="F499:F505"/>
    <mergeCell ref="F520:F526"/>
    <mergeCell ref="G520:G526"/>
    <mergeCell ref="F527:F533"/>
    <mergeCell ref="G527:G533"/>
    <mergeCell ref="F478:F484"/>
    <mergeCell ref="F506:F512"/>
    <mergeCell ref="G506:G512"/>
    <mergeCell ref="F513:F519"/>
    <mergeCell ref="G513:G519"/>
    <mergeCell ref="B590:B596"/>
    <mergeCell ref="C597:E603"/>
    <mergeCell ref="F597:F603"/>
    <mergeCell ref="G597:G603"/>
    <mergeCell ref="B597:B603"/>
    <mergeCell ref="C590:E596"/>
    <mergeCell ref="C212:E218"/>
    <mergeCell ref="F212:F218"/>
    <mergeCell ref="F590:F596"/>
    <mergeCell ref="B261:B323"/>
    <mergeCell ref="B324:B386"/>
    <mergeCell ref="B387:B435"/>
    <mergeCell ref="B436:B505"/>
    <mergeCell ref="B506:B568"/>
    <mergeCell ref="B569:B589"/>
    <mergeCell ref="B212:B218"/>
    <mergeCell ref="F569:F575"/>
    <mergeCell ref="G569:G575"/>
    <mergeCell ref="C576:E582"/>
    <mergeCell ref="F576:F582"/>
    <mergeCell ref="G576:G582"/>
    <mergeCell ref="C583:E589"/>
    <mergeCell ref="F583:F589"/>
    <mergeCell ref="C562:E568"/>
    <mergeCell ref="B86:B148"/>
    <mergeCell ref="B191:B197"/>
    <mergeCell ref="B198:B211"/>
    <mergeCell ref="C100:E113"/>
    <mergeCell ref="C128:E134"/>
    <mergeCell ref="C135:E141"/>
    <mergeCell ref="F135:F141"/>
    <mergeCell ref="C198:E204"/>
    <mergeCell ref="F198:F204"/>
    <mergeCell ref="C149:E155"/>
    <mergeCell ref="F149:F155"/>
    <mergeCell ref="C205:E211"/>
    <mergeCell ref="F205:F211"/>
    <mergeCell ref="C156:E162"/>
    <mergeCell ref="F156:F162"/>
    <mergeCell ref="F100:F106"/>
    <mergeCell ref="C163:E169"/>
    <mergeCell ref="C114:E127"/>
    <mergeCell ref="F114:F120"/>
    <mergeCell ref="F121:F127"/>
    <mergeCell ref="C184:E190"/>
    <mergeCell ref="F184:F190"/>
    <mergeCell ref="B149:B190"/>
    <mergeCell ref="F163:F169"/>
    <mergeCell ref="I3:J3"/>
    <mergeCell ref="E7:H7"/>
    <mergeCell ref="I7:J7"/>
    <mergeCell ref="B3:D3"/>
    <mergeCell ref="B4:D4"/>
    <mergeCell ref="B5:D5"/>
    <mergeCell ref="B6:D6"/>
    <mergeCell ref="I4:J4"/>
    <mergeCell ref="I5:J5"/>
    <mergeCell ref="I6:J6"/>
    <mergeCell ref="B9:E9"/>
    <mergeCell ref="B1:D1"/>
    <mergeCell ref="B7:D7"/>
    <mergeCell ref="E3:H3"/>
    <mergeCell ref="E4:H4"/>
    <mergeCell ref="E5:H5"/>
    <mergeCell ref="E6:H6"/>
    <mergeCell ref="G37:G43"/>
    <mergeCell ref="F51:F57"/>
    <mergeCell ref="C44:E64"/>
    <mergeCell ref="C23:E43"/>
    <mergeCell ref="F44:F50"/>
    <mergeCell ref="G23:G29"/>
    <mergeCell ref="G30:G36"/>
    <mergeCell ref="G44:G50"/>
    <mergeCell ref="G51:G57"/>
    <mergeCell ref="G58:G64"/>
    <mergeCell ref="B21:B22"/>
    <mergeCell ref="B20:F20"/>
    <mergeCell ref="B23:B85"/>
    <mergeCell ref="F23:F29"/>
    <mergeCell ref="F30:F36"/>
    <mergeCell ref="F37:F43"/>
    <mergeCell ref="F58:F64"/>
    <mergeCell ref="B219:B260"/>
    <mergeCell ref="C352:E365"/>
    <mergeCell ref="F352:F358"/>
    <mergeCell ref="G352:G358"/>
    <mergeCell ref="F359:F365"/>
    <mergeCell ref="G359:G365"/>
    <mergeCell ref="C415:E428"/>
    <mergeCell ref="F415:F421"/>
    <mergeCell ref="G415:G421"/>
    <mergeCell ref="F422:F428"/>
    <mergeCell ref="G422:G428"/>
    <mergeCell ref="G240:G246"/>
    <mergeCell ref="F247:F253"/>
    <mergeCell ref="G247:G253"/>
    <mergeCell ref="F254:F260"/>
    <mergeCell ref="G254:G260"/>
    <mergeCell ref="F345:F351"/>
    <mergeCell ref="G345:G351"/>
    <mergeCell ref="C261:E281"/>
    <mergeCell ref="G261:G267"/>
    <mergeCell ref="G268:G274"/>
    <mergeCell ref="G275:G281"/>
    <mergeCell ref="F268:F274"/>
    <mergeCell ref="C282:E302"/>
    <mergeCell ref="C464:E477"/>
    <mergeCell ref="F464:F470"/>
    <mergeCell ref="G464:G470"/>
    <mergeCell ref="F471:F477"/>
    <mergeCell ref="G471:G477"/>
    <mergeCell ref="C534:E547"/>
    <mergeCell ref="F534:F540"/>
    <mergeCell ref="G534:G540"/>
    <mergeCell ref="F541:F547"/>
    <mergeCell ref="G541:G547"/>
    <mergeCell ref="G499:G505"/>
  </mergeCells>
  <phoneticPr fontId="18" type="noConversion"/>
  <dataValidations count="2">
    <dataValidation type="whole" operator="greaterThan" allowBlank="1" showInputMessage="1" showErrorMessage="1" sqref="E7" xr:uid="{8DA49CE4-0A40-4FB7-AF61-3EBD2DBC68C0}">
      <formula1>2000</formula1>
    </dataValidation>
    <dataValidation type="decimal" operator="greaterThanOrEqual" allowBlank="1" showInputMessage="1" showErrorMessage="1" sqref="G12:G17 J12:J17 L12 L15" xr:uid="{3512A62E-A9FB-4D2F-B00E-3DB2B035CE22}">
      <formula1>0</formula1>
    </dataValidation>
  </dataValidations>
  <pageMargins left="0.70866141732283472" right="0.70866141732283472" top="0.74803149606299213" bottom="0.74803149606299213" header="0.31496062992125984" footer="0.31496062992125984"/>
  <pageSetup scale="44" fitToHeight="0" orientation="portrait" r:id="rId1"/>
  <rowBreaks count="5" manualBreakCount="5">
    <brk id="85" min="1" max="12" man="1"/>
    <brk id="197" min="1" max="12" man="1"/>
    <brk id="281" min="1" max="12" man="1"/>
    <brk id="386" min="1" max="12" man="1"/>
    <brk id="505"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8" r:id="rId4" name="Drop Down 4">
              <controlPr defaultSize="0" autoLine="0" autoPict="0">
                <anchor moveWithCells="1" sizeWithCells="1">
                  <from>
                    <xdr:col>5</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77830" r:id="rId5" name="Drop Down 6">
              <controlPr defaultSize="0" autoLine="0" autoPict="0">
                <anchor moveWithCells="1" sizeWithCells="1">
                  <from>
                    <xdr:col>5</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77831" r:id="rId6" name="Drop Down 7">
              <controlPr defaultSize="0" autoLine="0" autoPict="0">
                <anchor moveWithCells="1" sizeWithCells="1">
                  <from>
                    <xdr:col>5</xdr:col>
                    <xdr:colOff>0</xdr:colOff>
                    <xdr:row>14</xdr:row>
                    <xdr:rowOff>0</xdr:rowOff>
                  </from>
                  <to>
                    <xdr:col>6</xdr:col>
                    <xdr:colOff>0</xdr:colOff>
                    <xdr:row>15</xdr:row>
                    <xdr:rowOff>0</xdr:rowOff>
                  </to>
                </anchor>
              </controlPr>
            </control>
          </mc:Choice>
        </mc:AlternateContent>
        <mc:AlternateContent xmlns:mc="http://schemas.openxmlformats.org/markup-compatibility/2006">
          <mc:Choice Requires="x14">
            <control shapeId="77833" r:id="rId7" name="Drop Down 9">
              <controlPr defaultSize="0" autoLine="0" autoPict="0">
                <anchor moveWithCells="1" sizeWithCells="1">
                  <from>
                    <xdr:col>5</xdr:col>
                    <xdr:colOff>0</xdr:colOff>
                    <xdr:row>15</xdr:row>
                    <xdr:rowOff>0</xdr:rowOff>
                  </from>
                  <to>
                    <xdr:col>6</xdr:col>
                    <xdr:colOff>0</xdr:colOff>
                    <xdr:row>16</xdr:row>
                    <xdr:rowOff>0</xdr:rowOff>
                  </to>
                </anchor>
              </controlPr>
            </control>
          </mc:Choice>
        </mc:AlternateContent>
        <mc:AlternateContent xmlns:mc="http://schemas.openxmlformats.org/markup-compatibility/2006">
          <mc:Choice Requires="x14">
            <control shapeId="77834" r:id="rId8" name="Drop Down 10">
              <controlPr defaultSize="0" autoLine="0" autoPict="0">
                <anchor moveWithCells="1" sizeWithCells="1">
                  <from>
                    <xdr:col>5</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77835" r:id="rId9" name="Drop Down 11">
              <controlPr defaultSize="0" autoLine="0" autoPict="0">
                <anchor moveWithCells="1" sizeWithCells="1">
                  <from>
                    <xdr:col>8</xdr:col>
                    <xdr:colOff>0</xdr:colOff>
                    <xdr:row>11</xdr:row>
                    <xdr:rowOff>0</xdr:rowOff>
                  </from>
                  <to>
                    <xdr:col>9</xdr:col>
                    <xdr:colOff>0</xdr:colOff>
                    <xdr:row>12</xdr:row>
                    <xdr:rowOff>0</xdr:rowOff>
                  </to>
                </anchor>
              </controlPr>
            </control>
          </mc:Choice>
        </mc:AlternateContent>
        <mc:AlternateContent xmlns:mc="http://schemas.openxmlformats.org/markup-compatibility/2006">
          <mc:Choice Requires="x14">
            <control shapeId="77836" r:id="rId10" name="Drop Down 12">
              <controlPr defaultSize="0" autoLine="0" autoPict="0">
                <anchor moveWithCells="1" sizeWithCells="1">
                  <from>
                    <xdr:col>8</xdr:col>
                    <xdr:colOff>0</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77837" r:id="rId11" name="Drop Down 13">
              <controlPr defaultSize="0" autoLine="0" autoPict="0">
                <anchor moveWithCells="1" sizeWithCells="1">
                  <from>
                    <xdr:col>8</xdr:col>
                    <xdr:colOff>0</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77838" r:id="rId12" name="Drop Down 14">
              <controlPr defaultSize="0" autoLine="0" autoPict="0">
                <anchor moveWithCells="1" siz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77839" r:id="rId13" name="Drop Down 15">
              <controlPr defaultSize="0" autoLine="0" autoPict="0">
                <anchor moveWithCells="1" siz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77840" r:id="rId14" name="Drop Down 16">
              <controlPr defaultSize="0" autoLine="0" autoPict="0">
                <anchor moveWithCells="1" siz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77841" r:id="rId15" name="Drop Down 17">
              <controlPr defaultSize="0" autoLine="0" autoPict="0">
                <anchor moveWithCells="1" siz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77842" r:id="rId16" name="Drop Down 18">
              <controlPr defaultSize="0" autoLine="0" autoPict="0">
                <anchor moveWithCells="1" siz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77843" r:id="rId17" name="Drop Down 19">
              <controlPr defaultSize="0" autoLine="0" autoPict="0">
                <anchor moveWithCells="1" siz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77844" r:id="rId18" name="Drop Down 20">
              <controlPr defaultSize="0" autoLine="0" autoPict="0">
                <anchor moveWithCells="1" siz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77846" r:id="rId19" name="Drop Down 22">
              <controlPr defaultSize="0" autoLine="0" autoPict="0">
                <anchor moveWithCells="1" siz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77847" r:id="rId20" name="Drop Down 23">
              <controlPr defaultSize="0" autoLine="0" autoPict="0">
                <anchor moveWithCells="1" siz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77848" r:id="rId21" name="Drop Down 24">
              <controlPr defaultSize="0" autoLine="0" autoPict="0">
                <anchor moveWithCells="1" siz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77849" r:id="rId22" name="Drop Down 25">
              <controlPr defaultSize="0" autoLine="0" autoPict="0">
                <anchor moveWithCells="1" siz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77850" r:id="rId23" name="Drop Down 26">
              <controlPr defaultSize="0" autoLine="0" autoPict="0">
                <anchor moveWithCells="1" siz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77851" r:id="rId24" name="Drop Down 27">
              <controlPr defaultSize="0" autoLine="0" autoPict="0">
                <anchor moveWithCells="1" siz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77852" r:id="rId25" name="Drop Down 28">
              <controlPr defaultSize="0" autoLine="0" autoPict="0">
                <anchor moveWithCells="1" siz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77853" r:id="rId26" name="Drop Down 29">
              <controlPr defaultSize="0" autoLine="0" autoPict="0">
                <anchor moveWithCells="1" siz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77854" r:id="rId27" name="Drop Down 30">
              <controlPr defaultSize="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77892" r:id="rId28" name="Drop Down 68">
              <controlPr defaultSize="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77893" r:id="rId29" name="Drop Down 69">
              <controlPr defaultSize="0" autoLine="0" autoPict="0">
                <anchor moveWithCells="1" sizeWithCells="1">
                  <from>
                    <xdr:col>5</xdr:col>
                    <xdr:colOff>0</xdr:colOff>
                    <xdr:row>11</xdr:row>
                    <xdr:rowOff>0</xdr:rowOff>
                  </from>
                  <to>
                    <xdr:col>6</xdr:col>
                    <xdr:colOff>0</xdr:colOff>
                    <xdr:row>12</xdr:row>
                    <xdr:rowOff>0</xdr:rowOff>
                  </to>
                </anchor>
              </controlPr>
            </control>
          </mc:Choice>
        </mc:AlternateContent>
        <mc:AlternateContent xmlns:mc="http://schemas.openxmlformats.org/markup-compatibility/2006">
          <mc:Choice Requires="x14">
            <control shapeId="77894" r:id="rId30" name="Drop Down 70">
              <controlPr defaultSize="0" autoLine="0" autoPict="0">
                <anchor moveWithCells="1" sizeWithCells="1">
                  <from>
                    <xdr:col>7</xdr:col>
                    <xdr:colOff>0</xdr:colOff>
                    <xdr:row>57</xdr:row>
                    <xdr:rowOff>0</xdr:rowOff>
                  </from>
                  <to>
                    <xdr:col>8</xdr:col>
                    <xdr:colOff>0</xdr:colOff>
                    <xdr:row>58</xdr:row>
                    <xdr:rowOff>0</xdr:rowOff>
                  </to>
                </anchor>
              </controlPr>
            </control>
          </mc:Choice>
        </mc:AlternateContent>
        <mc:AlternateContent xmlns:mc="http://schemas.openxmlformats.org/markup-compatibility/2006">
          <mc:Choice Requires="x14">
            <control shapeId="77896" r:id="rId31" name="Drop Down 72">
              <controlPr defaultSize="0" autoLine="0" autoPict="0">
                <anchor moveWithCells="1" sizeWithCells="1">
                  <from>
                    <xdr:col>7</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77897" r:id="rId32" name="Drop Down 73">
              <controlPr defaultSize="0" autoLine="0" autoPict="0">
                <anchor moveWithCells="1" siz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77898" r:id="rId33" name="Drop Down 74">
              <controlPr defaultSize="0" autoLine="0" autoPict="0">
                <anchor moveWithCells="1" sizeWithCells="1">
                  <from>
                    <xdr:col>7</xdr:col>
                    <xdr:colOff>0</xdr:colOff>
                    <xdr:row>85</xdr:row>
                    <xdr:rowOff>0</xdr:rowOff>
                  </from>
                  <to>
                    <xdr:col>8</xdr:col>
                    <xdr:colOff>0</xdr:colOff>
                    <xdr:row>86</xdr:row>
                    <xdr:rowOff>0</xdr:rowOff>
                  </to>
                </anchor>
              </controlPr>
            </control>
          </mc:Choice>
        </mc:AlternateContent>
        <mc:AlternateContent xmlns:mc="http://schemas.openxmlformats.org/markup-compatibility/2006">
          <mc:Choice Requires="x14">
            <control shapeId="77900" r:id="rId34" name="Drop Down 76">
              <controlPr defaultSize="0" autoLine="0" autoPict="0">
                <anchor moveWithCells="1" sizeWithCells="1">
                  <from>
                    <xdr:col>7</xdr:col>
                    <xdr:colOff>0</xdr:colOff>
                    <xdr:row>127</xdr:row>
                    <xdr:rowOff>0</xdr:rowOff>
                  </from>
                  <to>
                    <xdr:col>8</xdr:col>
                    <xdr:colOff>0</xdr:colOff>
                    <xdr:row>128</xdr:row>
                    <xdr:rowOff>0</xdr:rowOff>
                  </to>
                </anchor>
              </controlPr>
            </control>
          </mc:Choice>
        </mc:AlternateContent>
        <mc:AlternateContent xmlns:mc="http://schemas.openxmlformats.org/markup-compatibility/2006">
          <mc:Choice Requires="x14">
            <control shapeId="77901" r:id="rId35" name="Drop Down 77">
              <controlPr defaultSize="0" autoLine="0" autoPict="0">
                <anchor moveWithCells="1" sizeWithCells="1">
                  <from>
                    <xdr:col>7</xdr:col>
                    <xdr:colOff>0</xdr:colOff>
                    <xdr:row>134</xdr:row>
                    <xdr:rowOff>0</xdr:rowOff>
                  </from>
                  <to>
                    <xdr:col>8</xdr:col>
                    <xdr:colOff>0</xdr:colOff>
                    <xdr:row>135</xdr:row>
                    <xdr:rowOff>0</xdr:rowOff>
                  </to>
                </anchor>
              </controlPr>
            </control>
          </mc:Choice>
        </mc:AlternateContent>
        <mc:AlternateContent xmlns:mc="http://schemas.openxmlformats.org/markup-compatibility/2006">
          <mc:Choice Requires="x14">
            <control shapeId="77902" r:id="rId36" name="Drop Down 78">
              <controlPr defaultSize="0" autoLine="0" autoPict="0">
                <anchor moveWithCells="1" sizeWithCells="1">
                  <from>
                    <xdr:col>7</xdr:col>
                    <xdr:colOff>0</xdr:colOff>
                    <xdr:row>141</xdr:row>
                    <xdr:rowOff>0</xdr:rowOff>
                  </from>
                  <to>
                    <xdr:col>8</xdr:col>
                    <xdr:colOff>0</xdr:colOff>
                    <xdr:row>142</xdr:row>
                    <xdr:rowOff>0</xdr:rowOff>
                  </to>
                </anchor>
              </controlPr>
            </control>
          </mc:Choice>
        </mc:AlternateContent>
        <mc:AlternateContent xmlns:mc="http://schemas.openxmlformats.org/markup-compatibility/2006">
          <mc:Choice Requires="x14">
            <control shapeId="77903" r:id="rId37" name="Drop Down 79">
              <controlPr defaultSize="0" autoLine="0" autoPict="0">
                <anchor moveWithCells="1" sizeWithCells="1">
                  <from>
                    <xdr:col>7</xdr:col>
                    <xdr:colOff>0</xdr:colOff>
                    <xdr:row>148</xdr:row>
                    <xdr:rowOff>0</xdr:rowOff>
                  </from>
                  <to>
                    <xdr:col>8</xdr:col>
                    <xdr:colOff>0</xdr:colOff>
                    <xdr:row>149</xdr:row>
                    <xdr:rowOff>0</xdr:rowOff>
                  </to>
                </anchor>
              </controlPr>
            </control>
          </mc:Choice>
        </mc:AlternateContent>
        <mc:AlternateContent xmlns:mc="http://schemas.openxmlformats.org/markup-compatibility/2006">
          <mc:Choice Requires="x14">
            <control shapeId="77904" r:id="rId38" name="Drop Down 80">
              <controlPr defaultSize="0" autoLine="0" autoPict="0">
                <anchor moveWithCells="1" sizeWithCells="1">
                  <from>
                    <xdr:col>7</xdr:col>
                    <xdr:colOff>0</xdr:colOff>
                    <xdr:row>155</xdr:row>
                    <xdr:rowOff>0</xdr:rowOff>
                  </from>
                  <to>
                    <xdr:col>8</xdr:col>
                    <xdr:colOff>0</xdr:colOff>
                    <xdr:row>156</xdr:row>
                    <xdr:rowOff>0</xdr:rowOff>
                  </to>
                </anchor>
              </controlPr>
            </control>
          </mc:Choice>
        </mc:AlternateContent>
        <mc:AlternateContent xmlns:mc="http://schemas.openxmlformats.org/markup-compatibility/2006">
          <mc:Choice Requires="x14">
            <control shapeId="77905" r:id="rId39" name="Drop Down 81">
              <controlPr defaultSize="0" autoLine="0" autoPict="0">
                <anchor moveWithCells="1" sizeWithCells="1">
                  <from>
                    <xdr:col>7</xdr:col>
                    <xdr:colOff>0</xdr:colOff>
                    <xdr:row>162</xdr:row>
                    <xdr:rowOff>0</xdr:rowOff>
                  </from>
                  <to>
                    <xdr:col>8</xdr:col>
                    <xdr:colOff>0</xdr:colOff>
                    <xdr:row>163</xdr:row>
                    <xdr:rowOff>0</xdr:rowOff>
                  </to>
                </anchor>
              </controlPr>
            </control>
          </mc:Choice>
        </mc:AlternateContent>
        <mc:AlternateContent xmlns:mc="http://schemas.openxmlformats.org/markup-compatibility/2006">
          <mc:Choice Requires="x14">
            <control shapeId="77906" r:id="rId40" name="Drop Down 82">
              <controlPr defaultSize="0" autoLine="0" autoPict="0">
                <anchor moveWithCells="1" sizeWithCells="1">
                  <from>
                    <xdr:col>7</xdr:col>
                    <xdr:colOff>0</xdr:colOff>
                    <xdr:row>169</xdr:row>
                    <xdr:rowOff>0</xdr:rowOff>
                  </from>
                  <to>
                    <xdr:col>8</xdr:col>
                    <xdr:colOff>0</xdr:colOff>
                    <xdr:row>170</xdr:row>
                    <xdr:rowOff>0</xdr:rowOff>
                  </to>
                </anchor>
              </controlPr>
            </control>
          </mc:Choice>
        </mc:AlternateContent>
        <mc:AlternateContent xmlns:mc="http://schemas.openxmlformats.org/markup-compatibility/2006">
          <mc:Choice Requires="x14">
            <control shapeId="77908" r:id="rId41" name="Drop Down 84">
              <controlPr defaultSize="0" autoLine="0" autoPict="0">
                <anchor moveWithCells="1" sizeWithCells="1">
                  <from>
                    <xdr:col>7</xdr:col>
                    <xdr:colOff>0</xdr:colOff>
                    <xdr:row>190</xdr:row>
                    <xdr:rowOff>0</xdr:rowOff>
                  </from>
                  <to>
                    <xdr:col>8</xdr:col>
                    <xdr:colOff>0</xdr:colOff>
                    <xdr:row>191</xdr:row>
                    <xdr:rowOff>0</xdr:rowOff>
                  </to>
                </anchor>
              </controlPr>
            </control>
          </mc:Choice>
        </mc:AlternateContent>
        <mc:AlternateContent xmlns:mc="http://schemas.openxmlformats.org/markup-compatibility/2006">
          <mc:Choice Requires="x14">
            <control shapeId="77909" r:id="rId42" name="Drop Down 85">
              <controlPr defaultSize="0" autoLine="0" autoPict="0">
                <anchor moveWithCells="1" sizeWithCells="1">
                  <from>
                    <xdr:col>7</xdr:col>
                    <xdr:colOff>0</xdr:colOff>
                    <xdr:row>197</xdr:row>
                    <xdr:rowOff>0</xdr:rowOff>
                  </from>
                  <to>
                    <xdr:col>8</xdr:col>
                    <xdr:colOff>0</xdr:colOff>
                    <xdr:row>198</xdr:row>
                    <xdr:rowOff>0</xdr:rowOff>
                  </to>
                </anchor>
              </controlPr>
            </control>
          </mc:Choice>
        </mc:AlternateContent>
        <mc:AlternateContent xmlns:mc="http://schemas.openxmlformats.org/markup-compatibility/2006">
          <mc:Choice Requires="x14">
            <control shapeId="77910" r:id="rId43" name="Drop Down 86">
              <controlPr defaultSize="0" autoLine="0" autoPict="0">
                <anchor moveWithCells="1" sizeWithCells="1">
                  <from>
                    <xdr:col>7</xdr:col>
                    <xdr:colOff>0</xdr:colOff>
                    <xdr:row>204</xdr:row>
                    <xdr:rowOff>0</xdr:rowOff>
                  </from>
                  <to>
                    <xdr:col>8</xdr:col>
                    <xdr:colOff>0</xdr:colOff>
                    <xdr:row>205</xdr:row>
                    <xdr:rowOff>0</xdr:rowOff>
                  </to>
                </anchor>
              </controlPr>
            </control>
          </mc:Choice>
        </mc:AlternateContent>
        <mc:AlternateContent xmlns:mc="http://schemas.openxmlformats.org/markup-compatibility/2006">
          <mc:Choice Requires="x14">
            <control shapeId="77911" r:id="rId44" name="Drop Down 87">
              <controlPr defaultSize="0" autoLine="0" autoPict="0">
                <anchor moveWithCells="1" sizeWithCells="1">
                  <from>
                    <xdr:col>7</xdr:col>
                    <xdr:colOff>0</xdr:colOff>
                    <xdr:row>274</xdr:row>
                    <xdr:rowOff>0</xdr:rowOff>
                  </from>
                  <to>
                    <xdr:col>8</xdr:col>
                    <xdr:colOff>0</xdr:colOff>
                    <xdr:row>275</xdr:row>
                    <xdr:rowOff>0</xdr:rowOff>
                  </to>
                </anchor>
              </controlPr>
            </control>
          </mc:Choice>
        </mc:AlternateContent>
        <mc:AlternateContent xmlns:mc="http://schemas.openxmlformats.org/markup-compatibility/2006">
          <mc:Choice Requires="x14">
            <control shapeId="77912" r:id="rId45" name="Drop Down 88">
              <controlPr defaultSize="0" autoLine="0" autoPict="0">
                <anchor moveWithCells="1" sizeWithCells="1">
                  <from>
                    <xdr:col>7</xdr:col>
                    <xdr:colOff>0</xdr:colOff>
                    <xdr:row>295</xdr:row>
                    <xdr:rowOff>0</xdr:rowOff>
                  </from>
                  <to>
                    <xdr:col>8</xdr:col>
                    <xdr:colOff>0</xdr:colOff>
                    <xdr:row>296</xdr:row>
                    <xdr:rowOff>0</xdr:rowOff>
                  </to>
                </anchor>
              </controlPr>
            </control>
          </mc:Choice>
        </mc:AlternateContent>
        <mc:AlternateContent xmlns:mc="http://schemas.openxmlformats.org/markup-compatibility/2006">
          <mc:Choice Requires="x14">
            <control shapeId="77913" r:id="rId46" name="Drop Down 89">
              <controlPr defaultSize="0" autoLine="0" autoPict="0">
                <anchor moveWithCells="1" sizeWithCells="1">
                  <from>
                    <xdr:col>7</xdr:col>
                    <xdr:colOff>0</xdr:colOff>
                    <xdr:row>316</xdr:row>
                    <xdr:rowOff>0</xdr:rowOff>
                  </from>
                  <to>
                    <xdr:col>8</xdr:col>
                    <xdr:colOff>0</xdr:colOff>
                    <xdr:row>317</xdr:row>
                    <xdr:rowOff>0</xdr:rowOff>
                  </to>
                </anchor>
              </controlPr>
            </control>
          </mc:Choice>
        </mc:AlternateContent>
        <mc:AlternateContent xmlns:mc="http://schemas.openxmlformats.org/markup-compatibility/2006">
          <mc:Choice Requires="x14">
            <control shapeId="77914" r:id="rId47" name="Drop Down 90">
              <controlPr defaultSize="0" autoLine="0" autoPict="0">
                <anchor moveWithCells="1" sizeWithCells="1">
                  <from>
                    <xdr:col>7</xdr:col>
                    <xdr:colOff>0</xdr:colOff>
                    <xdr:row>323</xdr:row>
                    <xdr:rowOff>0</xdr:rowOff>
                  </from>
                  <to>
                    <xdr:col>8</xdr:col>
                    <xdr:colOff>0</xdr:colOff>
                    <xdr:row>324</xdr:row>
                    <xdr:rowOff>0</xdr:rowOff>
                  </to>
                </anchor>
              </controlPr>
            </control>
          </mc:Choice>
        </mc:AlternateContent>
        <mc:AlternateContent xmlns:mc="http://schemas.openxmlformats.org/markup-compatibility/2006">
          <mc:Choice Requires="x14">
            <control shapeId="77916" r:id="rId48" name="Drop Down 92">
              <controlPr defaultSize="0" autoLine="0" autoPict="0">
                <anchor moveWithCells="1" sizeWithCells="1">
                  <from>
                    <xdr:col>7</xdr:col>
                    <xdr:colOff>0</xdr:colOff>
                    <xdr:row>365</xdr:row>
                    <xdr:rowOff>0</xdr:rowOff>
                  </from>
                  <to>
                    <xdr:col>8</xdr:col>
                    <xdr:colOff>0</xdr:colOff>
                    <xdr:row>366</xdr:row>
                    <xdr:rowOff>0</xdr:rowOff>
                  </to>
                </anchor>
              </controlPr>
            </control>
          </mc:Choice>
        </mc:AlternateContent>
        <mc:AlternateContent xmlns:mc="http://schemas.openxmlformats.org/markup-compatibility/2006">
          <mc:Choice Requires="x14">
            <control shapeId="77917" r:id="rId49" name="Drop Down 93">
              <controlPr defaultSize="0" autoLine="0" autoPict="0">
                <anchor moveWithCells="1" sizeWithCells="1">
                  <from>
                    <xdr:col>7</xdr:col>
                    <xdr:colOff>0</xdr:colOff>
                    <xdr:row>372</xdr:row>
                    <xdr:rowOff>0</xdr:rowOff>
                  </from>
                  <to>
                    <xdr:col>8</xdr:col>
                    <xdr:colOff>0</xdr:colOff>
                    <xdr:row>373</xdr:row>
                    <xdr:rowOff>0</xdr:rowOff>
                  </to>
                </anchor>
              </controlPr>
            </control>
          </mc:Choice>
        </mc:AlternateContent>
        <mc:AlternateContent xmlns:mc="http://schemas.openxmlformats.org/markup-compatibility/2006">
          <mc:Choice Requires="x14">
            <control shapeId="77918" r:id="rId50" name="Drop Down 94">
              <controlPr defaultSize="0" autoLine="0" autoPict="0">
                <anchor moveWithCells="1" sizeWithCells="1">
                  <from>
                    <xdr:col>7</xdr:col>
                    <xdr:colOff>0</xdr:colOff>
                    <xdr:row>379</xdr:row>
                    <xdr:rowOff>0</xdr:rowOff>
                  </from>
                  <to>
                    <xdr:col>8</xdr:col>
                    <xdr:colOff>0</xdr:colOff>
                    <xdr:row>380</xdr:row>
                    <xdr:rowOff>0</xdr:rowOff>
                  </to>
                </anchor>
              </controlPr>
            </control>
          </mc:Choice>
        </mc:AlternateContent>
        <mc:AlternateContent xmlns:mc="http://schemas.openxmlformats.org/markup-compatibility/2006">
          <mc:Choice Requires="x14">
            <control shapeId="77919" r:id="rId51" name="Drop Down 95">
              <controlPr defaultSize="0" autoLine="0" autoPict="0">
                <anchor moveWithCells="1" sizeWithCells="1">
                  <from>
                    <xdr:col>7</xdr:col>
                    <xdr:colOff>0</xdr:colOff>
                    <xdr:row>393</xdr:row>
                    <xdr:rowOff>0</xdr:rowOff>
                  </from>
                  <to>
                    <xdr:col>8</xdr:col>
                    <xdr:colOff>0</xdr:colOff>
                    <xdr:row>394</xdr:row>
                    <xdr:rowOff>0</xdr:rowOff>
                  </to>
                </anchor>
              </controlPr>
            </control>
          </mc:Choice>
        </mc:AlternateContent>
        <mc:AlternateContent xmlns:mc="http://schemas.openxmlformats.org/markup-compatibility/2006">
          <mc:Choice Requires="x14">
            <control shapeId="77922" r:id="rId52" name="Drop Down 98">
              <controlPr defaultSize="0" autoLine="0" autoPict="0">
                <anchor moveWithCells="1" sizeWithCells="1">
                  <from>
                    <xdr:col>7</xdr:col>
                    <xdr:colOff>0</xdr:colOff>
                    <xdr:row>428</xdr:row>
                    <xdr:rowOff>0</xdr:rowOff>
                  </from>
                  <to>
                    <xdr:col>8</xdr:col>
                    <xdr:colOff>0</xdr:colOff>
                    <xdr:row>429</xdr:row>
                    <xdr:rowOff>0</xdr:rowOff>
                  </to>
                </anchor>
              </controlPr>
            </control>
          </mc:Choice>
        </mc:AlternateContent>
        <mc:AlternateContent xmlns:mc="http://schemas.openxmlformats.org/markup-compatibility/2006">
          <mc:Choice Requires="x14">
            <control shapeId="77923" r:id="rId53" name="Drop Down 99">
              <controlPr defaultSize="0" autoLine="0" autoPict="0">
                <anchor moveWithCells="1" sizeWithCells="1">
                  <from>
                    <xdr:col>7</xdr:col>
                    <xdr:colOff>0</xdr:colOff>
                    <xdr:row>435</xdr:row>
                    <xdr:rowOff>0</xdr:rowOff>
                  </from>
                  <to>
                    <xdr:col>8</xdr:col>
                    <xdr:colOff>0</xdr:colOff>
                    <xdr:row>436</xdr:row>
                    <xdr:rowOff>0</xdr:rowOff>
                  </to>
                </anchor>
              </controlPr>
            </control>
          </mc:Choice>
        </mc:AlternateContent>
        <mc:AlternateContent xmlns:mc="http://schemas.openxmlformats.org/markup-compatibility/2006">
          <mc:Choice Requires="x14">
            <control shapeId="77925" r:id="rId54" name="Drop Down 101">
              <controlPr defaultSize="0" autoLine="0" autoPict="0">
                <anchor moveWithCells="1" sizeWithCells="1">
                  <from>
                    <xdr:col>7</xdr:col>
                    <xdr:colOff>0</xdr:colOff>
                    <xdr:row>477</xdr:row>
                    <xdr:rowOff>0</xdr:rowOff>
                  </from>
                  <to>
                    <xdr:col>8</xdr:col>
                    <xdr:colOff>0</xdr:colOff>
                    <xdr:row>478</xdr:row>
                    <xdr:rowOff>0</xdr:rowOff>
                  </to>
                </anchor>
              </controlPr>
            </control>
          </mc:Choice>
        </mc:AlternateContent>
        <mc:AlternateContent xmlns:mc="http://schemas.openxmlformats.org/markup-compatibility/2006">
          <mc:Choice Requires="x14">
            <control shapeId="77926" r:id="rId55" name="Drop Down 102">
              <controlPr defaultSize="0" autoLine="0" autoPict="0">
                <anchor moveWithCells="1" sizeWithCells="1">
                  <from>
                    <xdr:col>7</xdr:col>
                    <xdr:colOff>0</xdr:colOff>
                    <xdr:row>484</xdr:row>
                    <xdr:rowOff>0</xdr:rowOff>
                  </from>
                  <to>
                    <xdr:col>8</xdr:col>
                    <xdr:colOff>0</xdr:colOff>
                    <xdr:row>485</xdr:row>
                    <xdr:rowOff>0</xdr:rowOff>
                  </to>
                </anchor>
              </controlPr>
            </control>
          </mc:Choice>
        </mc:AlternateContent>
        <mc:AlternateContent xmlns:mc="http://schemas.openxmlformats.org/markup-compatibility/2006">
          <mc:Choice Requires="x14">
            <control shapeId="77927" r:id="rId56" name="Drop Down 103">
              <controlPr defaultSize="0" autoLine="0" autoPict="0">
                <anchor moveWithCells="1" sizeWithCells="1">
                  <from>
                    <xdr:col>7</xdr:col>
                    <xdr:colOff>0</xdr:colOff>
                    <xdr:row>505</xdr:row>
                    <xdr:rowOff>0</xdr:rowOff>
                  </from>
                  <to>
                    <xdr:col>8</xdr:col>
                    <xdr:colOff>0</xdr:colOff>
                    <xdr:row>506</xdr:row>
                    <xdr:rowOff>0</xdr:rowOff>
                  </to>
                </anchor>
              </controlPr>
            </control>
          </mc:Choice>
        </mc:AlternateContent>
        <mc:AlternateContent xmlns:mc="http://schemas.openxmlformats.org/markup-compatibility/2006">
          <mc:Choice Requires="x14">
            <control shapeId="77929" r:id="rId57" name="Drop Down 105">
              <controlPr defaultSize="0" autoLine="0" autoPict="0">
                <anchor moveWithCells="1" sizeWithCells="1">
                  <from>
                    <xdr:col>7</xdr:col>
                    <xdr:colOff>0</xdr:colOff>
                    <xdr:row>547</xdr:row>
                    <xdr:rowOff>0</xdr:rowOff>
                  </from>
                  <to>
                    <xdr:col>8</xdr:col>
                    <xdr:colOff>0</xdr:colOff>
                    <xdr:row>548</xdr:row>
                    <xdr:rowOff>0</xdr:rowOff>
                  </to>
                </anchor>
              </controlPr>
            </control>
          </mc:Choice>
        </mc:AlternateContent>
        <mc:AlternateContent xmlns:mc="http://schemas.openxmlformats.org/markup-compatibility/2006">
          <mc:Choice Requires="x14">
            <control shapeId="77930" r:id="rId58" name="Drop Down 106">
              <controlPr defaultSize="0" autoLine="0" autoPict="0">
                <anchor moveWithCells="1" sizeWithCells="1">
                  <from>
                    <xdr:col>7</xdr:col>
                    <xdr:colOff>0</xdr:colOff>
                    <xdr:row>554</xdr:row>
                    <xdr:rowOff>0</xdr:rowOff>
                  </from>
                  <to>
                    <xdr:col>8</xdr:col>
                    <xdr:colOff>0</xdr:colOff>
                    <xdr:row>555</xdr:row>
                    <xdr:rowOff>0</xdr:rowOff>
                  </to>
                </anchor>
              </controlPr>
            </control>
          </mc:Choice>
        </mc:AlternateContent>
        <mc:AlternateContent xmlns:mc="http://schemas.openxmlformats.org/markup-compatibility/2006">
          <mc:Choice Requires="x14">
            <control shapeId="77931" r:id="rId59" name="Drop Down 107">
              <controlPr defaultSize="0" autoLine="0" autoPict="0">
                <anchor moveWithCells="1" sizeWithCells="1">
                  <from>
                    <xdr:col>7</xdr:col>
                    <xdr:colOff>0</xdr:colOff>
                    <xdr:row>582</xdr:row>
                    <xdr:rowOff>0</xdr:rowOff>
                  </from>
                  <to>
                    <xdr:col>8</xdr:col>
                    <xdr:colOff>0</xdr:colOff>
                    <xdr:row>583</xdr:row>
                    <xdr:rowOff>0</xdr:rowOff>
                  </to>
                </anchor>
              </controlPr>
            </control>
          </mc:Choice>
        </mc:AlternateContent>
        <mc:AlternateContent xmlns:mc="http://schemas.openxmlformats.org/markup-compatibility/2006">
          <mc:Choice Requires="x14">
            <control shapeId="77933" r:id="rId60" name="Drop Down 109">
              <controlPr defaultSize="0" autoLine="0" autoPict="0">
                <anchor moveWithCells="1" sizeWithCells="1">
                  <from>
                    <xdr:col>7</xdr:col>
                    <xdr:colOff>0</xdr:colOff>
                    <xdr:row>386</xdr:row>
                    <xdr:rowOff>0</xdr:rowOff>
                  </from>
                  <to>
                    <xdr:col>8</xdr:col>
                    <xdr:colOff>0</xdr:colOff>
                    <xdr:row>387</xdr:row>
                    <xdr:rowOff>0</xdr:rowOff>
                  </to>
                </anchor>
              </controlPr>
            </control>
          </mc:Choice>
        </mc:AlternateContent>
        <mc:AlternateContent xmlns:mc="http://schemas.openxmlformats.org/markup-compatibility/2006">
          <mc:Choice Requires="x14">
            <control shapeId="77934" r:id="rId61" name="Drop Down 110">
              <controlPr defaultSize="0" autoLine="0" autoPict="0">
                <anchor moveWithCells="1" sizeWithCells="1">
                  <from>
                    <xdr:col>7</xdr:col>
                    <xdr:colOff>0</xdr:colOff>
                    <xdr:row>113</xdr:row>
                    <xdr:rowOff>0</xdr:rowOff>
                  </from>
                  <to>
                    <xdr:col>8</xdr:col>
                    <xdr:colOff>0</xdr:colOff>
                    <xdr:row>114</xdr:row>
                    <xdr:rowOff>0</xdr:rowOff>
                  </to>
                </anchor>
              </controlPr>
            </control>
          </mc:Choice>
        </mc:AlternateContent>
        <mc:AlternateContent xmlns:mc="http://schemas.openxmlformats.org/markup-compatibility/2006">
          <mc:Choice Requires="x14">
            <control shapeId="77899" r:id="rId62" name="Drop Down 75">
              <controlPr defaultSize="0" autoLine="0" autoPict="0">
                <anchor moveWithCells="1" sizeWithCells="1">
                  <from>
                    <xdr:col>7</xdr:col>
                    <xdr:colOff>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77907" r:id="rId63" name="Drop Down 83">
              <controlPr defaultSize="0" autoLine="0" autoPict="0">
                <anchor moveWithCells="1" sizeWithCells="1">
                  <from>
                    <xdr:col>7</xdr:col>
                    <xdr:colOff>0</xdr:colOff>
                    <xdr:row>176</xdr:row>
                    <xdr:rowOff>0</xdr:rowOff>
                  </from>
                  <to>
                    <xdr:col>8</xdr:col>
                    <xdr:colOff>0</xdr:colOff>
                    <xdr:row>177</xdr:row>
                    <xdr:rowOff>0</xdr:rowOff>
                  </to>
                </anchor>
              </controlPr>
            </control>
          </mc:Choice>
        </mc:AlternateContent>
        <mc:AlternateContent xmlns:mc="http://schemas.openxmlformats.org/markup-compatibility/2006">
          <mc:Choice Requires="x14">
            <control shapeId="77935" r:id="rId64" name="Drop Down 111">
              <controlPr defaultSize="0" autoLine="0" autoPict="0">
                <anchor moveWithCells="1" sizeWithCells="1">
                  <from>
                    <xdr:col>7</xdr:col>
                    <xdr:colOff>0</xdr:colOff>
                    <xdr:row>183</xdr:row>
                    <xdr:rowOff>0</xdr:rowOff>
                  </from>
                  <to>
                    <xdr:col>8</xdr:col>
                    <xdr:colOff>0</xdr:colOff>
                    <xdr:row>184</xdr:row>
                    <xdr:rowOff>0</xdr:rowOff>
                  </to>
                </anchor>
              </controlPr>
            </control>
          </mc:Choice>
        </mc:AlternateContent>
        <mc:AlternateContent xmlns:mc="http://schemas.openxmlformats.org/markup-compatibility/2006">
          <mc:Choice Requires="x14">
            <control shapeId="77915" r:id="rId65" name="Drop Down 91">
              <controlPr defaultSize="0" autoLine="0" autoPict="0">
                <anchor moveWithCells="1" sizeWithCells="1">
                  <from>
                    <xdr:col>7</xdr:col>
                    <xdr:colOff>0</xdr:colOff>
                    <xdr:row>337</xdr:row>
                    <xdr:rowOff>0</xdr:rowOff>
                  </from>
                  <to>
                    <xdr:col>8</xdr:col>
                    <xdr:colOff>0</xdr:colOff>
                    <xdr:row>338</xdr:row>
                    <xdr:rowOff>0</xdr:rowOff>
                  </to>
                </anchor>
              </controlPr>
            </control>
          </mc:Choice>
        </mc:AlternateContent>
        <mc:AlternateContent xmlns:mc="http://schemas.openxmlformats.org/markup-compatibility/2006">
          <mc:Choice Requires="x14">
            <control shapeId="77936" r:id="rId66" name="Drop Down 112">
              <controlPr defaultSize="0" autoLine="0" autoPict="0">
                <anchor moveWithCells="1" sizeWithCells="1">
                  <from>
                    <xdr:col>7</xdr:col>
                    <xdr:colOff>0</xdr:colOff>
                    <xdr:row>351</xdr:row>
                    <xdr:rowOff>0</xdr:rowOff>
                  </from>
                  <to>
                    <xdr:col>8</xdr:col>
                    <xdr:colOff>0</xdr:colOff>
                    <xdr:row>352</xdr:row>
                    <xdr:rowOff>0</xdr:rowOff>
                  </to>
                </anchor>
              </controlPr>
            </control>
          </mc:Choice>
        </mc:AlternateContent>
        <mc:AlternateContent xmlns:mc="http://schemas.openxmlformats.org/markup-compatibility/2006">
          <mc:Choice Requires="x14">
            <control shapeId="77920" r:id="rId67" name="Drop Down 96">
              <controlPr defaultSize="0" autoLine="0" autoPict="0">
                <anchor moveWithCells="1" sizeWithCells="1">
                  <from>
                    <xdr:col>7</xdr:col>
                    <xdr:colOff>0</xdr:colOff>
                    <xdr:row>400</xdr:row>
                    <xdr:rowOff>0</xdr:rowOff>
                  </from>
                  <to>
                    <xdr:col>8</xdr:col>
                    <xdr:colOff>0</xdr:colOff>
                    <xdr:row>401</xdr:row>
                    <xdr:rowOff>0</xdr:rowOff>
                  </to>
                </anchor>
              </controlPr>
            </control>
          </mc:Choice>
        </mc:AlternateContent>
        <mc:AlternateContent xmlns:mc="http://schemas.openxmlformats.org/markup-compatibility/2006">
          <mc:Choice Requires="x14">
            <control shapeId="77921" r:id="rId68" name="Drop Down 97">
              <controlPr defaultSize="0" autoLine="0" autoPict="0">
                <anchor moveWithCells="1" sizeWithCells="1">
                  <from>
                    <xdr:col>7</xdr:col>
                    <xdr:colOff>0</xdr:colOff>
                    <xdr:row>407</xdr:row>
                    <xdr:rowOff>0</xdr:rowOff>
                  </from>
                  <to>
                    <xdr:col>8</xdr:col>
                    <xdr:colOff>0</xdr:colOff>
                    <xdr:row>408</xdr:row>
                    <xdr:rowOff>0</xdr:rowOff>
                  </to>
                </anchor>
              </controlPr>
            </control>
          </mc:Choice>
        </mc:AlternateContent>
        <mc:AlternateContent xmlns:mc="http://schemas.openxmlformats.org/markup-compatibility/2006">
          <mc:Choice Requires="x14">
            <control shapeId="77937" r:id="rId69" name="Drop Down 113">
              <controlPr defaultSize="0" autoLine="0" autoPict="0">
                <anchor moveWithCells="1" sizeWithCells="1">
                  <from>
                    <xdr:col>7</xdr:col>
                    <xdr:colOff>0</xdr:colOff>
                    <xdr:row>414</xdr:row>
                    <xdr:rowOff>0</xdr:rowOff>
                  </from>
                  <to>
                    <xdr:col>8</xdr:col>
                    <xdr:colOff>0</xdr:colOff>
                    <xdr:row>415</xdr:row>
                    <xdr:rowOff>0</xdr:rowOff>
                  </to>
                </anchor>
              </controlPr>
            </control>
          </mc:Choice>
        </mc:AlternateContent>
        <mc:AlternateContent xmlns:mc="http://schemas.openxmlformats.org/markup-compatibility/2006">
          <mc:Choice Requires="x14">
            <control shapeId="77938" r:id="rId70" name="Drop Down 114">
              <controlPr defaultSize="0" autoLine="0" autoPict="0">
                <anchor moveWithCells="1" sizeWithCells="1">
                  <from>
                    <xdr:col>7</xdr:col>
                    <xdr:colOff>0</xdr:colOff>
                    <xdr:row>421</xdr:row>
                    <xdr:rowOff>0</xdr:rowOff>
                  </from>
                  <to>
                    <xdr:col>8</xdr:col>
                    <xdr:colOff>0</xdr:colOff>
                    <xdr:row>422</xdr:row>
                    <xdr:rowOff>0</xdr:rowOff>
                  </to>
                </anchor>
              </controlPr>
            </control>
          </mc:Choice>
        </mc:AlternateContent>
        <mc:AlternateContent xmlns:mc="http://schemas.openxmlformats.org/markup-compatibility/2006">
          <mc:Choice Requires="x14">
            <control shapeId="77924" r:id="rId71" name="Drop Down 100">
              <controlPr defaultSize="0" autoLine="0" autoPict="0">
                <anchor moveWithCells="1" sizeWithCells="1">
                  <from>
                    <xdr:col>7</xdr:col>
                    <xdr:colOff>0</xdr:colOff>
                    <xdr:row>449</xdr:row>
                    <xdr:rowOff>0</xdr:rowOff>
                  </from>
                  <to>
                    <xdr:col>8</xdr:col>
                    <xdr:colOff>0</xdr:colOff>
                    <xdr:row>450</xdr:row>
                    <xdr:rowOff>0</xdr:rowOff>
                  </to>
                </anchor>
              </controlPr>
            </control>
          </mc:Choice>
        </mc:AlternateContent>
        <mc:AlternateContent xmlns:mc="http://schemas.openxmlformats.org/markup-compatibility/2006">
          <mc:Choice Requires="x14">
            <control shapeId="77939" r:id="rId72" name="Drop Down 115">
              <controlPr defaultSize="0" autoLine="0" autoPict="0">
                <anchor moveWithCells="1" sizeWithCells="1">
                  <from>
                    <xdr:col>7</xdr:col>
                    <xdr:colOff>0</xdr:colOff>
                    <xdr:row>463</xdr:row>
                    <xdr:rowOff>0</xdr:rowOff>
                  </from>
                  <to>
                    <xdr:col>8</xdr:col>
                    <xdr:colOff>0</xdr:colOff>
                    <xdr:row>464</xdr:row>
                    <xdr:rowOff>0</xdr:rowOff>
                  </to>
                </anchor>
              </controlPr>
            </control>
          </mc:Choice>
        </mc:AlternateContent>
        <mc:AlternateContent xmlns:mc="http://schemas.openxmlformats.org/markup-compatibility/2006">
          <mc:Choice Requires="x14">
            <control shapeId="77928" r:id="rId73" name="Drop Down 104">
              <controlPr defaultSize="0" autoLine="0" autoPict="0">
                <anchor moveWithCells="1" sizeWithCells="1">
                  <from>
                    <xdr:col>7</xdr:col>
                    <xdr:colOff>0</xdr:colOff>
                    <xdr:row>519</xdr:row>
                    <xdr:rowOff>0</xdr:rowOff>
                  </from>
                  <to>
                    <xdr:col>8</xdr:col>
                    <xdr:colOff>0</xdr:colOff>
                    <xdr:row>520</xdr:row>
                    <xdr:rowOff>0</xdr:rowOff>
                  </to>
                </anchor>
              </controlPr>
            </control>
          </mc:Choice>
        </mc:AlternateContent>
        <mc:AlternateContent xmlns:mc="http://schemas.openxmlformats.org/markup-compatibility/2006">
          <mc:Choice Requires="x14">
            <control shapeId="77940" r:id="rId74" name="Drop Down 116">
              <controlPr defaultSize="0" autoLine="0" autoPict="0">
                <anchor moveWithCells="1" sizeWithCells="1">
                  <from>
                    <xdr:col>7</xdr:col>
                    <xdr:colOff>0</xdr:colOff>
                    <xdr:row>533</xdr:row>
                    <xdr:rowOff>0</xdr:rowOff>
                  </from>
                  <to>
                    <xdr:col>8</xdr:col>
                    <xdr:colOff>0</xdr:colOff>
                    <xdr:row>534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8A5C-0B34-4A5A-9DAE-575E125072A7}">
  <sheetPr>
    <tabColor rgb="FF0070C0"/>
  </sheetPr>
  <dimension ref="A1:AI125"/>
  <sheetViews>
    <sheetView showGridLines="0" workbookViewId="0">
      <selection activeCell="H63" sqref="H63"/>
    </sheetView>
  </sheetViews>
  <sheetFormatPr defaultColWidth="9.1796875" defaultRowHeight="14" x14ac:dyDescent="0.3"/>
  <cols>
    <col min="1" max="1" width="22.453125" style="128" customWidth="1"/>
    <col min="2" max="2" width="19.1796875" style="128" customWidth="1"/>
    <col min="3" max="3" width="22.453125" style="128" customWidth="1"/>
    <col min="4" max="4" width="19.453125" style="128" customWidth="1"/>
    <col min="5" max="5" width="30.1796875" style="128" customWidth="1"/>
    <col min="6" max="6" width="12.453125" style="128" customWidth="1"/>
    <col min="7" max="7" width="29" style="128" customWidth="1"/>
    <col min="8" max="8" width="16.1796875" style="128" customWidth="1"/>
    <col min="9" max="9" width="19.453125" style="128" customWidth="1"/>
    <col min="10" max="14" width="9.81640625" style="128" customWidth="1"/>
    <col min="15" max="15" width="15.7265625" style="128" customWidth="1"/>
    <col min="16" max="16" width="9.81640625" style="128" customWidth="1"/>
    <col min="17" max="17" width="10.54296875" style="128" customWidth="1"/>
    <col min="18" max="18" width="15.1796875" style="128" customWidth="1"/>
    <col min="19" max="31" width="9.81640625" style="128" customWidth="1"/>
    <col min="32" max="33" width="9.1796875" style="128"/>
    <col min="34" max="34" width="9.1796875" style="128" customWidth="1"/>
    <col min="35" max="16384" width="9.1796875" style="128"/>
  </cols>
  <sheetData>
    <row r="1" spans="1:35" ht="27" customHeight="1" x14ac:dyDescent="0.45">
      <c r="A1" s="414" t="str">
        <f ca="1">'Translation Table'!H278</f>
        <v>Solid Fuel Properties (IPCC)</v>
      </c>
      <c r="B1" s="414"/>
      <c r="H1" s="36">
        <f>1/D6*H6*M_SO2</f>
        <v>4.8714068441064635E-3</v>
      </c>
    </row>
    <row r="2" spans="1:35" s="35" customFormat="1" ht="24.75" customHeight="1" x14ac:dyDescent="0.35">
      <c r="J2" s="421"/>
      <c r="K2" s="421"/>
      <c r="L2" s="421"/>
      <c r="M2" s="421"/>
      <c r="N2" s="421"/>
      <c r="O2" s="421"/>
      <c r="P2" s="421"/>
      <c r="Q2" s="421"/>
      <c r="R2" s="421"/>
      <c r="S2" s="421"/>
      <c r="T2" s="421"/>
      <c r="U2" s="421"/>
      <c r="V2" s="421"/>
      <c r="W2" s="173"/>
      <c r="X2" s="173"/>
      <c r="Y2" s="173"/>
      <c r="Z2" s="173"/>
      <c r="AA2" s="173"/>
      <c r="AB2" s="173"/>
      <c r="AC2" s="173"/>
      <c r="AD2" s="173"/>
      <c r="AE2" s="173"/>
    </row>
    <row r="3" spans="1:35" s="35" customFormat="1" ht="34.5" customHeight="1" x14ac:dyDescent="0.35">
      <c r="A3" s="348" t="str">
        <f ca="1">'Translation Table'!H279</f>
        <v>Fuel Type</v>
      </c>
      <c r="B3" s="401" t="str">
        <f ca="1">'Translation Table'!H280</f>
        <v xml:space="preserve">Combusted </v>
      </c>
      <c r="C3" s="419"/>
      <c r="D3" s="401" t="str">
        <f ca="1">'Translation Table'!H284</f>
        <v>Higher Heating Value</v>
      </c>
      <c r="E3" s="419"/>
      <c r="F3" s="401" t="str">
        <f ca="1">'Translation Table'!H295</f>
        <v>Density</v>
      </c>
      <c r="G3" s="419"/>
      <c r="H3" s="396" t="str">
        <f ca="1">'Translation Table'!H335</f>
        <v>S Content</v>
      </c>
      <c r="I3" s="428"/>
      <c r="J3" s="401" t="str">
        <f ca="1">'Translation Table'!H301</f>
        <v>Emission Factors (kg/TJ)</v>
      </c>
      <c r="K3" s="408"/>
      <c r="L3" s="408"/>
      <c r="M3" s="408"/>
      <c r="N3" s="408"/>
      <c r="O3" s="408"/>
      <c r="P3" s="409"/>
      <c r="Q3" s="403" t="str">
        <f ca="1">'Translation Table'!H302</f>
        <v>Emissions Petroleum Refining</v>
      </c>
      <c r="R3" s="422"/>
      <c r="S3" s="422"/>
      <c r="T3" s="422"/>
      <c r="U3" s="422"/>
      <c r="V3" s="422"/>
      <c r="W3" s="423"/>
      <c r="X3" s="403" t="str">
        <f ca="1">'Translation Table'!H303</f>
        <v>Emissions Other Energy Industries</v>
      </c>
      <c r="Y3" s="424"/>
      <c r="Z3" s="424"/>
      <c r="AA3" s="424"/>
      <c r="AB3" s="424"/>
      <c r="AC3" s="424"/>
      <c r="AD3" s="424"/>
      <c r="AE3" s="172"/>
      <c r="AF3" s="172"/>
      <c r="AG3" s="174"/>
      <c r="AH3" s="172"/>
      <c r="AI3" s="172"/>
    </row>
    <row r="4" spans="1:35" s="35" customFormat="1" ht="22.5" customHeight="1" x14ac:dyDescent="0.35">
      <c r="A4" s="415"/>
      <c r="B4" s="401" t="str">
        <f ca="1">'Translation Table'!H281</f>
        <v>Amount (GJ/y)</v>
      </c>
      <c r="C4" s="419"/>
      <c r="D4" s="33" t="str">
        <f ca="1">'Translation Table'!H285</f>
        <v>Value</v>
      </c>
      <c r="E4" s="348" t="str">
        <f ca="1">'Translation Table'!H286</f>
        <v>Reference</v>
      </c>
      <c r="F4" s="33" t="str">
        <f ca="1">'Translation Table'!H298</f>
        <v>Value</v>
      </c>
      <c r="G4" s="348" t="str">
        <f ca="1">'Translation Table'!H286</f>
        <v>Reference</v>
      </c>
      <c r="H4" s="33" t="str">
        <f ca="1">'Translation Table'!H298</f>
        <v>Value</v>
      </c>
      <c r="I4" s="348" t="str">
        <f ca="1">'Translation Table'!H286</f>
        <v>Reference</v>
      </c>
      <c r="J4" s="405" t="str">
        <f ca="1">'Translation Table'!H287</f>
        <v>CH4</v>
      </c>
      <c r="K4" s="405" t="str">
        <f ca="1">'Translation Table'!H288</f>
        <v>CO2</v>
      </c>
      <c r="L4" s="405" t="str">
        <f ca="1">'Translation Table'!H289</f>
        <v>N2O</v>
      </c>
      <c r="M4" s="398" t="str">
        <f ca="1">'Translation Table'!H290</f>
        <v>NOx</v>
      </c>
      <c r="N4" s="398" t="str">
        <f ca="1">'Translation Table'!H291</f>
        <v>CO</v>
      </c>
      <c r="O4" s="398" t="str">
        <f ca="1">'Translation Table'!H292</f>
        <v>NMVOC</v>
      </c>
      <c r="P4" s="405" t="str">
        <f ca="1">'Translation Table'!H293</f>
        <v>SO2</v>
      </c>
      <c r="Q4" s="122" t="str">
        <f ca="1">'Translation Table'!H287</f>
        <v>CH4</v>
      </c>
      <c r="R4" s="122" t="str">
        <f ca="1">'Translation Table'!H288</f>
        <v>CO2</v>
      </c>
      <c r="S4" s="122" t="str">
        <f ca="1">'Translation Table'!H289</f>
        <v>N2O</v>
      </c>
      <c r="T4" s="122" t="str">
        <f ca="1">'Translation Table'!H290</f>
        <v>NOx</v>
      </c>
      <c r="U4" s="122" t="str">
        <f ca="1">'Translation Table'!H291</f>
        <v>CO</v>
      </c>
      <c r="V4" s="122" t="str">
        <f ca="1">'Translation Table'!H292</f>
        <v>NMVOC</v>
      </c>
      <c r="W4" s="122" t="str">
        <f ca="1">'Translation Table'!H293</f>
        <v>SO2</v>
      </c>
      <c r="X4" s="122" t="str">
        <f ca="1">'Translation Table'!H287</f>
        <v>CH4</v>
      </c>
      <c r="Y4" s="122" t="str">
        <f ca="1">'Translation Table'!H288</f>
        <v>CO2</v>
      </c>
      <c r="Z4" s="122" t="str">
        <f ca="1">'Translation Table'!H289</f>
        <v>N2O</v>
      </c>
      <c r="AA4" s="122" t="str">
        <f ca="1">'Translation Table'!H290</f>
        <v>NOx</v>
      </c>
      <c r="AB4" s="122" t="str">
        <f ca="1">'Translation Table'!H291</f>
        <v>CO</v>
      </c>
      <c r="AC4" s="122" t="str">
        <f ca="1">'Translation Table'!H292</f>
        <v>NMVOC</v>
      </c>
      <c r="AD4" s="122" t="str">
        <f ca="1">'Translation Table'!H293</f>
        <v>SO2</v>
      </c>
      <c r="AE4" s="170"/>
      <c r="AF4" s="170"/>
      <c r="AG4" s="170"/>
      <c r="AH4" s="170"/>
      <c r="AI4" s="170"/>
    </row>
    <row r="5" spans="1:35" s="35" customFormat="1" ht="15.5" x14ac:dyDescent="0.35">
      <c r="A5" s="416"/>
      <c r="B5" s="139" t="str">
        <f ca="1">'Translation Table'!H282</f>
        <v>Petroleum Refining</v>
      </c>
      <c r="C5" s="139" t="str">
        <f ca="1">'Translation Table'!H283</f>
        <v>Other Energy Industries</v>
      </c>
      <c r="D5" s="33" t="str">
        <f ca="1">'Translation Table'!H333</f>
        <v>(GJ/Tonne)</v>
      </c>
      <c r="E5" s="416"/>
      <c r="F5" s="33" t="str">
        <f ca="1">'Translation Table'!H334</f>
        <v>(kg/m3)</v>
      </c>
      <c r="G5" s="416"/>
      <c r="H5" s="33" t="str">
        <f ca="1">'Translation Table'!H336</f>
        <v>(Mass %)</v>
      </c>
      <c r="I5" s="418"/>
      <c r="J5" s="406"/>
      <c r="K5" s="406"/>
      <c r="L5" s="406"/>
      <c r="M5" s="399"/>
      <c r="N5" s="399"/>
      <c r="O5" s="399"/>
      <c r="P5" s="406"/>
      <c r="Q5" s="122" t="str">
        <f ca="1">'Translation Table'!H294</f>
        <v>(tonnes/y)</v>
      </c>
      <c r="R5" s="122" t="str">
        <f ca="1">'Translation Table'!H294</f>
        <v>(tonnes/y)</v>
      </c>
      <c r="S5" s="122" t="str">
        <f ca="1">'Translation Table'!H294</f>
        <v>(tonnes/y)</v>
      </c>
      <c r="T5" s="122" t="str">
        <f ca="1">'Translation Table'!H294</f>
        <v>(tonnes/y)</v>
      </c>
      <c r="U5" s="122" t="str">
        <f ca="1">'Translation Table'!H294</f>
        <v>(tonnes/y)</v>
      </c>
      <c r="V5" s="122" t="str">
        <f ca="1">'Translation Table'!H294</f>
        <v>(tonnes/y)</v>
      </c>
      <c r="W5" s="122" t="str">
        <f ca="1">'Translation Table'!H294</f>
        <v>(tonnes/y)</v>
      </c>
      <c r="X5" s="122" t="str">
        <f ca="1">'Translation Table'!H294</f>
        <v>(tonnes/y)</v>
      </c>
      <c r="Y5" s="122" t="str">
        <f ca="1">'Translation Table'!H294</f>
        <v>(tonnes/y)</v>
      </c>
      <c r="Z5" s="122" t="str">
        <f ca="1">'Translation Table'!H294</f>
        <v>(tonnes/y)</v>
      </c>
      <c r="AA5" s="122" t="str">
        <f ca="1">'Translation Table'!H294</f>
        <v>(tonnes/y)</v>
      </c>
      <c r="AB5" s="122" t="str">
        <f ca="1">'Translation Table'!H294</f>
        <v>(tonnes/y)</v>
      </c>
      <c r="AC5" s="122" t="str">
        <f ca="1">'Translation Table'!H294</f>
        <v>(tonnes/y)</v>
      </c>
      <c r="AD5" s="122" t="str">
        <f ca="1">'Translation Table'!H294</f>
        <v>(tonnes/y)</v>
      </c>
      <c r="AE5" s="170"/>
      <c r="AF5" s="170"/>
      <c r="AG5" s="170"/>
      <c r="AH5" s="170"/>
      <c r="AI5" s="170"/>
    </row>
    <row r="6" spans="1:35" x14ac:dyDescent="0.3">
      <c r="A6" s="140" t="str">
        <f ca="1">'Translation Table'!H314</f>
        <v>Anthracite</v>
      </c>
      <c r="B6" s="140">
        <f ca="1">IF(A6='Setup - IPCC Assessment'!F$12,IF('Setup - IPCC Assessment'!R$12="tonne/y",'Setup - IPCC Assessment'!Q$12*D6,'Setup - IPCC Assessment'!Q$12),
IF(A6='Setup - IPCC Assessment'!F$13, IF('Setup - IPCC Assessment'!R$13="tonne/y",'Setup - IPCC Assessment'!Q$13*D6,'Setup - IPCC Assessment'!Q$13),
IF(A6='Setup - IPCC Assessment'!F$14,IF('Setup - IPCC Assessment'!R$14="tonne/y",'Setup - IPCC Assessment'!Q$14*D6,'Setup - IPCC Assessment'!Q$14),0)))</f>
        <v>0</v>
      </c>
      <c r="C6" s="140">
        <f ca="1">IF(A6='Setup - IPCC Assessment'!F$15,IF('Setup - IPCC Assessment'!R$15="tonne/y",'Setup - IPCC Assessment'!Q$15*D6,'Setup - IPCC Assessment'!Q$15),
IF(A6='Setup - IPCC Assessment'!F$16, IF('Setup - IPCC Assessment'!R$16="tonne/y",'Setup - IPCC Assessment'!Q$16*D6,'Setup - IPCC Assessment'!Q$16),
IF(A6='Setup - IPCC Assessment'!F$17,IF('Setup - IPCC Assessment'!R$17="tonne/y",'Setup - IPCC Assessment'!Q$17*D6,'Setup - IPCC Assessment'!Q$17),0)))</f>
        <v>0</v>
      </c>
      <c r="D6" s="129">
        <v>26.3</v>
      </c>
      <c r="E6" s="129" t="s">
        <v>767</v>
      </c>
      <c r="F6" s="129">
        <f>(800+929)/2</f>
        <v>864.5</v>
      </c>
      <c r="G6" s="129" t="s">
        <v>1160</v>
      </c>
      <c r="H6" s="234">
        <v>2E-3</v>
      </c>
      <c r="I6" s="234"/>
      <c r="J6" s="240">
        <v>1</v>
      </c>
      <c r="K6" s="142">
        <v>98300</v>
      </c>
      <c r="L6" s="143">
        <v>1.5</v>
      </c>
      <c r="M6" s="142"/>
      <c r="N6" s="142"/>
      <c r="O6" s="142"/>
      <c r="P6" s="143">
        <f t="shared" ref="P6:P13" si="0">1/D6*H6*M_SO2/M_S*1000*1000</f>
        <v>151.92287054752731</v>
      </c>
      <c r="Q6" s="144">
        <f t="shared" ref="Q6:Q13" ca="1" si="1">IFERROR(B6*J6/1000/1000,0)</f>
        <v>0</v>
      </c>
      <c r="R6" s="144">
        <f t="shared" ref="R6:R13" ca="1" si="2">IFERROR(B6*K6/1000/1000,0)</f>
        <v>0</v>
      </c>
      <c r="S6" s="144">
        <f t="shared" ref="S6:S13" ca="1" si="3">IFERROR(B6*L6/1000/1000,0)</f>
        <v>0</v>
      </c>
      <c r="T6" s="144">
        <f t="shared" ref="T6:T13" ca="1" si="4">IFERROR(B6*M6/1000/1000,0)</f>
        <v>0</v>
      </c>
      <c r="U6" s="144">
        <f t="shared" ref="U6:U13" ca="1" si="5">IFERROR(B6*N6/1000/1000,0)</f>
        <v>0</v>
      </c>
      <c r="V6" s="144">
        <f t="shared" ref="V6:V13" ca="1" si="6">IFERROR(B6*O6/1000/1000,0)</f>
        <v>0</v>
      </c>
      <c r="W6" s="144">
        <f t="shared" ref="W6:W13" ca="1" si="7">IFERROR(B6*P6/1000/1000,0)</f>
        <v>0</v>
      </c>
      <c r="X6" s="144">
        <f t="shared" ref="X6:X13" ca="1" si="8">IFERROR(C6*J6/1000/1000,0)</f>
        <v>0</v>
      </c>
      <c r="Y6" s="144">
        <f t="shared" ref="Y6:Y13" ca="1" si="9">IFERROR(C6*K6/1000/1000,0)</f>
        <v>0</v>
      </c>
      <c r="Z6" s="168">
        <f t="shared" ref="Z6:Z13" ca="1" si="10">IFERROR(C6*L6/1000/1000,0)</f>
        <v>0</v>
      </c>
      <c r="AA6" s="168">
        <f t="shared" ref="AA6:AA13" ca="1" si="11">IFERROR(C6*M6/1000/1000,0)</f>
        <v>0</v>
      </c>
      <c r="AB6" s="168">
        <f t="shared" ref="AB6:AB13" ca="1" si="12">IFERROR(C6*N6/1000/1000,0)</f>
        <v>0</v>
      </c>
      <c r="AC6" s="168">
        <f t="shared" ref="AC6:AC13" ca="1" si="13">IFERROR(C6*O6/1000/1000,0)</f>
        <v>0</v>
      </c>
      <c r="AD6" s="144">
        <f t="shared" ref="AD6:AD13" ca="1" si="14">IFERROR(C6*P6/1000/1000,0)</f>
        <v>0</v>
      </c>
      <c r="AE6" s="171"/>
      <c r="AF6" s="171"/>
      <c r="AG6" s="171"/>
      <c r="AH6" s="171"/>
      <c r="AI6" s="171"/>
    </row>
    <row r="7" spans="1:35" x14ac:dyDescent="0.3">
      <c r="A7" s="127" t="str">
        <f ca="1">'Translation Table'!H315</f>
        <v>Bituminous</v>
      </c>
      <c r="B7" s="127">
        <f ca="1">IF(A7='Setup - IPCC Assessment'!F$12,IF('Setup - IPCC Assessment'!R$12="tonne/y",'Setup - IPCC Assessment'!Q$12*D7,'Setup - IPCC Assessment'!Q$12),
IF(A7='Setup - IPCC Assessment'!F$13, IF('Setup - IPCC Assessment'!R$13="tonne/y",'Setup - IPCC Assessment'!Q$13*D7,'Setup - IPCC Assessment'!Q$13),
IF(A7='Setup - IPCC Assessment'!F$14,IF('Setup - IPCC Assessment'!R$14="tonne/y",'Setup - IPCC Assessment'!Q$14*D7,'Setup - IPCC Assessment'!Q$14),0)))</f>
        <v>0</v>
      </c>
      <c r="C7" s="127">
        <f ca="1">IF(A7='Setup - IPCC Assessment'!F$15,IF('Setup - IPCC Assessment'!R$15="tonne/y",'Setup - IPCC Assessment'!Q$15*D7,'Setup - IPCC Assessment'!Q$15),
IF(A7='Setup - IPCC Assessment'!F$16, IF('Setup - IPCC Assessment'!R$16="tonne/y",'Setup - IPCC Assessment'!Q$16*D7,'Setup - IPCC Assessment'!Q$16),
IF(A7='Setup - IPCC Assessment'!F$17,IF('Setup - IPCC Assessment'!R$17="tonne/y",'Setup - IPCC Assessment'!Q$17*D7,'Setup - IPCC Assessment'!Q$17),0)))</f>
        <v>0</v>
      </c>
      <c r="D7" s="129">
        <v>27.8</v>
      </c>
      <c r="E7" s="129" t="s">
        <v>767</v>
      </c>
      <c r="F7" s="129">
        <f>(673+913)/2</f>
        <v>793</v>
      </c>
      <c r="G7" s="129" t="s">
        <v>1160</v>
      </c>
      <c r="H7" s="234">
        <v>2E-3</v>
      </c>
      <c r="I7" s="234"/>
      <c r="J7" s="241">
        <v>1</v>
      </c>
      <c r="K7" s="146">
        <v>94600</v>
      </c>
      <c r="L7" s="147">
        <v>1.5</v>
      </c>
      <c r="M7" s="146"/>
      <c r="N7" s="146"/>
      <c r="O7" s="146"/>
      <c r="P7" s="147">
        <f t="shared" si="0"/>
        <v>143.72559335971113</v>
      </c>
      <c r="Q7" s="148">
        <f t="shared" ca="1" si="1"/>
        <v>0</v>
      </c>
      <c r="R7" s="148">
        <f t="shared" ca="1" si="2"/>
        <v>0</v>
      </c>
      <c r="S7" s="148">
        <f t="shared" ca="1" si="3"/>
        <v>0</v>
      </c>
      <c r="T7" s="148">
        <f t="shared" ca="1" si="4"/>
        <v>0</v>
      </c>
      <c r="U7" s="148">
        <f t="shared" ca="1" si="5"/>
        <v>0</v>
      </c>
      <c r="V7" s="148">
        <f t="shared" ca="1" si="6"/>
        <v>0</v>
      </c>
      <c r="W7" s="148">
        <f t="shared" ca="1" si="7"/>
        <v>0</v>
      </c>
      <c r="X7" s="148">
        <f t="shared" ca="1" si="8"/>
        <v>0</v>
      </c>
      <c r="Y7" s="148">
        <f t="shared" ca="1" si="9"/>
        <v>0</v>
      </c>
      <c r="Z7" s="190">
        <f t="shared" ca="1" si="10"/>
        <v>0</v>
      </c>
      <c r="AA7" s="190">
        <f t="shared" ca="1" si="11"/>
        <v>0</v>
      </c>
      <c r="AB7" s="190">
        <f t="shared" ca="1" si="12"/>
        <v>0</v>
      </c>
      <c r="AC7" s="190">
        <f t="shared" ca="1" si="13"/>
        <v>0</v>
      </c>
      <c r="AD7" s="148">
        <f t="shared" ca="1" si="14"/>
        <v>0</v>
      </c>
      <c r="AE7" s="171"/>
      <c r="AF7" s="171"/>
      <c r="AG7" s="171"/>
      <c r="AH7" s="171"/>
      <c r="AI7" s="171"/>
    </row>
    <row r="8" spans="1:35" x14ac:dyDescent="0.3">
      <c r="A8" s="140" t="str">
        <f ca="1">'Translation Table'!H316</f>
        <v>Lignite</v>
      </c>
      <c r="B8" s="140">
        <f ca="1">IF(A8='Setup - IPCC Assessment'!F$12,IF('Setup - IPCC Assessment'!R$12="tonne/y",'Setup - IPCC Assessment'!Q$12*D8,'Setup - IPCC Assessment'!Q$12),
IF(A8='Setup - IPCC Assessment'!F$13, IF('Setup - IPCC Assessment'!R$13="tonne/y",'Setup - IPCC Assessment'!Q$13*D8,'Setup - IPCC Assessment'!Q$13),
IF(A8='Setup - IPCC Assessment'!F$14,IF('Setup - IPCC Assessment'!R$14="tonne/y",'Setup - IPCC Assessment'!Q$14*D8,'Setup - IPCC Assessment'!Q$14),0)))</f>
        <v>0</v>
      </c>
      <c r="C8" s="140">
        <f ca="1">IF(A8='Setup - IPCC Assessment'!F$15,IF('Setup - IPCC Assessment'!R$15="tonne/y",'Setup - IPCC Assessment'!Q$15*D8,'Setup - IPCC Assessment'!Q$15),
IF(A8='Setup - IPCC Assessment'!F$16, IF('Setup - IPCC Assessment'!R$16="tonne/y",'Setup - IPCC Assessment'!Q$16*D8,'Setup - IPCC Assessment'!Q$16),
IF(A8='Setup - IPCC Assessment'!F$17,IF('Setup - IPCC Assessment'!R$17="tonne/y",'Setup - IPCC Assessment'!Q$17*D8,'Setup - IPCC Assessment'!Q$17),0)))</f>
        <v>0</v>
      </c>
      <c r="D8" s="129">
        <v>15</v>
      </c>
      <c r="E8" s="129" t="s">
        <v>767</v>
      </c>
      <c r="F8" s="129">
        <f>(641+865)/2</f>
        <v>753</v>
      </c>
      <c r="G8" s="129" t="s">
        <v>1160</v>
      </c>
      <c r="H8" s="234">
        <v>2E-3</v>
      </c>
      <c r="I8" s="234"/>
      <c r="J8" s="240">
        <v>1</v>
      </c>
      <c r="K8" s="142">
        <v>101000</v>
      </c>
      <c r="L8" s="143">
        <v>1.5</v>
      </c>
      <c r="M8" s="142"/>
      <c r="N8" s="142"/>
      <c r="O8" s="142"/>
      <c r="P8" s="143">
        <f t="shared" si="0"/>
        <v>266.37143302666459</v>
      </c>
      <c r="Q8" s="144">
        <f t="shared" ca="1" si="1"/>
        <v>0</v>
      </c>
      <c r="R8" s="144">
        <f t="shared" ca="1" si="2"/>
        <v>0</v>
      </c>
      <c r="S8" s="144">
        <f t="shared" ca="1" si="3"/>
        <v>0</v>
      </c>
      <c r="T8" s="144">
        <f t="shared" ca="1" si="4"/>
        <v>0</v>
      </c>
      <c r="U8" s="144">
        <f t="shared" ca="1" si="5"/>
        <v>0</v>
      </c>
      <c r="V8" s="144">
        <f t="shared" ca="1" si="6"/>
        <v>0</v>
      </c>
      <c r="W8" s="144">
        <f t="shared" ca="1" si="7"/>
        <v>0</v>
      </c>
      <c r="X8" s="144">
        <f t="shared" ca="1" si="8"/>
        <v>0</v>
      </c>
      <c r="Y8" s="144">
        <f t="shared" ca="1" si="9"/>
        <v>0</v>
      </c>
      <c r="Z8" s="168">
        <f t="shared" ca="1" si="10"/>
        <v>0</v>
      </c>
      <c r="AA8" s="168">
        <f t="shared" ca="1" si="11"/>
        <v>0</v>
      </c>
      <c r="AB8" s="168">
        <f t="shared" ca="1" si="12"/>
        <v>0</v>
      </c>
      <c r="AC8" s="168">
        <f t="shared" ca="1" si="13"/>
        <v>0</v>
      </c>
      <c r="AD8" s="144">
        <f t="shared" ca="1" si="14"/>
        <v>0</v>
      </c>
      <c r="AE8" s="171"/>
      <c r="AF8" s="171"/>
      <c r="AG8" s="171"/>
      <c r="AH8" s="171"/>
      <c r="AI8" s="171"/>
    </row>
    <row r="9" spans="1:35" x14ac:dyDescent="0.3">
      <c r="A9" s="127" t="str">
        <f ca="1">'Translation Table'!H317</f>
        <v>Cleaned Coal</v>
      </c>
      <c r="B9" s="127">
        <f ca="1">IF(A9='Setup - IPCC Assessment'!F$12,IF('Setup - IPCC Assessment'!R$12="tonne/y",'Setup - IPCC Assessment'!Q$12*D9,'Setup - IPCC Assessment'!Q$12),
IF(A9='Setup - IPCC Assessment'!F$13, IF('Setup - IPCC Assessment'!R$13="tonne/y",'Setup - IPCC Assessment'!Q$13*D9,'Setup - IPCC Assessment'!Q$13),
IF(A9='Setup - IPCC Assessment'!F$14,IF('Setup - IPCC Assessment'!R$14="tonne/y",'Setup - IPCC Assessment'!Q$14*D9,'Setup - IPCC Assessment'!Q$14),0)))</f>
        <v>0</v>
      </c>
      <c r="C9" s="127">
        <f ca="1">IF(A9='Setup - IPCC Assessment'!F$15,IF('Setup - IPCC Assessment'!R$15="tonne/y",'Setup - IPCC Assessment'!Q$15*D9,'Setup - IPCC Assessment'!Q$15),
IF(A9='Setup - IPCC Assessment'!F$16, IF('Setup - IPCC Assessment'!R$16="tonne/y",'Setup - IPCC Assessment'!Q$16*D9,'Setup - IPCC Assessment'!Q$16),
IF(A9='Setup - IPCC Assessment'!F$17,IF('Setup - IPCC Assessment'!R$17="tonne/y",'Setup - IPCC Assessment'!Q$17*D9,'Setup - IPCC Assessment'!Q$17),0)))</f>
        <v>0</v>
      </c>
      <c r="D9" s="129">
        <v>29.727</v>
      </c>
      <c r="E9" s="129" t="s">
        <v>226</v>
      </c>
      <c r="F9" s="129">
        <v>1280</v>
      </c>
      <c r="G9" s="129" t="s">
        <v>1163</v>
      </c>
      <c r="H9" s="234">
        <v>2E-3</v>
      </c>
      <c r="I9" s="234"/>
      <c r="J9" s="241">
        <v>1</v>
      </c>
      <c r="K9" s="146">
        <v>101000</v>
      </c>
      <c r="L9" s="147">
        <v>1.5</v>
      </c>
      <c r="M9" s="146"/>
      <c r="N9" s="146"/>
      <c r="O9" s="146"/>
      <c r="P9" s="147">
        <f t="shared" si="0"/>
        <v>134.40883692938979</v>
      </c>
      <c r="Q9" s="148">
        <f t="shared" ca="1" si="1"/>
        <v>0</v>
      </c>
      <c r="R9" s="148">
        <f t="shared" ca="1" si="2"/>
        <v>0</v>
      </c>
      <c r="S9" s="148">
        <f t="shared" ca="1" si="3"/>
        <v>0</v>
      </c>
      <c r="T9" s="148">
        <f t="shared" ca="1" si="4"/>
        <v>0</v>
      </c>
      <c r="U9" s="148">
        <f t="shared" ca="1" si="5"/>
        <v>0</v>
      </c>
      <c r="V9" s="148">
        <f t="shared" ca="1" si="6"/>
        <v>0</v>
      </c>
      <c r="W9" s="148">
        <f t="shared" ca="1" si="7"/>
        <v>0</v>
      </c>
      <c r="X9" s="148">
        <f t="shared" ca="1" si="8"/>
        <v>0</v>
      </c>
      <c r="Y9" s="148">
        <f t="shared" ca="1" si="9"/>
        <v>0</v>
      </c>
      <c r="Z9" s="190">
        <f t="shared" ca="1" si="10"/>
        <v>0</v>
      </c>
      <c r="AA9" s="190">
        <f t="shared" ca="1" si="11"/>
        <v>0</v>
      </c>
      <c r="AB9" s="190">
        <f t="shared" ca="1" si="12"/>
        <v>0</v>
      </c>
      <c r="AC9" s="190">
        <f t="shared" ca="1" si="13"/>
        <v>0</v>
      </c>
      <c r="AD9" s="148">
        <f t="shared" ca="1" si="14"/>
        <v>0</v>
      </c>
      <c r="AE9" s="171"/>
      <c r="AF9" s="171"/>
      <c r="AG9" s="171"/>
      <c r="AH9" s="171"/>
      <c r="AI9" s="171"/>
    </row>
    <row r="10" spans="1:35" x14ac:dyDescent="0.3">
      <c r="A10" s="140" t="str">
        <f ca="1">'Translation Table'!H318</f>
        <v>Other Washed Coal</v>
      </c>
      <c r="B10" s="140">
        <f ca="1">IF(A10='Setup - IPCC Assessment'!F$12,IF('Setup - IPCC Assessment'!R$12="tonne/y",'Setup - IPCC Assessment'!Q$12*D10,'Setup - IPCC Assessment'!Q$12),
IF(A10='Setup - IPCC Assessment'!F$13, IF('Setup - IPCC Assessment'!R$13="tonne/y",'Setup - IPCC Assessment'!Q$13*D10,'Setup - IPCC Assessment'!Q$13),
IF(A10='Setup - IPCC Assessment'!F$14,IF('Setup - IPCC Assessment'!R$14="tonne/y",'Setup - IPCC Assessment'!Q$14*D10,'Setup - IPCC Assessment'!Q$14),0)))</f>
        <v>0</v>
      </c>
      <c r="C10" s="140">
        <f ca="1">IF(A10='Setup - IPCC Assessment'!F$15,IF('Setup - IPCC Assessment'!R$15="tonne/y",'Setup - IPCC Assessment'!Q$15*D10,'Setup - IPCC Assessment'!Q$15),
IF(A10='Setup - IPCC Assessment'!F$16, IF('Setup - IPCC Assessment'!R$16="tonne/y",'Setup - IPCC Assessment'!Q$16*D10,'Setup - IPCC Assessment'!Q$16),
IF(A10='Setup - IPCC Assessment'!F$17,IF('Setup - IPCC Assessment'!R$17="tonne/y",'Setup - IPCC Assessment'!Q$17*D10,'Setup - IPCC Assessment'!Q$17),0)))</f>
        <v>0</v>
      </c>
      <c r="D10" s="129">
        <v>8.3629999999999995</v>
      </c>
      <c r="E10" s="129" t="s">
        <v>226</v>
      </c>
      <c r="F10" s="129">
        <v>1190</v>
      </c>
      <c r="G10" s="129" t="s">
        <v>1163</v>
      </c>
      <c r="H10" s="234">
        <v>2E-3</v>
      </c>
      <c r="I10" s="234"/>
      <c r="J10" s="240">
        <v>1</v>
      </c>
      <c r="K10" s="142">
        <v>101000</v>
      </c>
      <c r="L10" s="143">
        <v>1.5</v>
      </c>
      <c r="M10" s="142"/>
      <c r="N10" s="142"/>
      <c r="O10" s="142"/>
      <c r="P10" s="143">
        <f t="shared" si="0"/>
        <v>477.767726342218</v>
      </c>
      <c r="Q10" s="144">
        <f t="shared" ca="1" si="1"/>
        <v>0</v>
      </c>
      <c r="R10" s="144">
        <f t="shared" ca="1" si="2"/>
        <v>0</v>
      </c>
      <c r="S10" s="144">
        <f t="shared" ca="1" si="3"/>
        <v>0</v>
      </c>
      <c r="T10" s="144">
        <f t="shared" ca="1" si="4"/>
        <v>0</v>
      </c>
      <c r="U10" s="144">
        <f t="shared" ca="1" si="5"/>
        <v>0</v>
      </c>
      <c r="V10" s="144">
        <f t="shared" ca="1" si="6"/>
        <v>0</v>
      </c>
      <c r="W10" s="144">
        <f t="shared" ca="1" si="7"/>
        <v>0</v>
      </c>
      <c r="X10" s="144">
        <f t="shared" ca="1" si="8"/>
        <v>0</v>
      </c>
      <c r="Y10" s="144">
        <f t="shared" ca="1" si="9"/>
        <v>0</v>
      </c>
      <c r="Z10" s="168">
        <f t="shared" ca="1" si="10"/>
        <v>0</v>
      </c>
      <c r="AA10" s="168">
        <f t="shared" ca="1" si="11"/>
        <v>0</v>
      </c>
      <c r="AB10" s="168">
        <f t="shared" ca="1" si="12"/>
        <v>0</v>
      </c>
      <c r="AC10" s="168">
        <f t="shared" ca="1" si="13"/>
        <v>0</v>
      </c>
      <c r="AD10" s="144">
        <f t="shared" ca="1" si="14"/>
        <v>0</v>
      </c>
      <c r="AE10" s="171"/>
      <c r="AF10" s="171"/>
      <c r="AG10" s="171"/>
      <c r="AH10" s="171"/>
      <c r="AI10" s="171"/>
    </row>
    <row r="11" spans="1:35" x14ac:dyDescent="0.3">
      <c r="A11" s="127" t="str">
        <f ca="1">'Translation Table'!H319</f>
        <v>Briquette Coal</v>
      </c>
      <c r="B11" s="127">
        <f ca="1">IF(A11='Setup - IPCC Assessment'!F$12,IF('Setup - IPCC Assessment'!R$12="tonne/y",'Setup - IPCC Assessment'!Q$12*D11,'Setup - IPCC Assessment'!Q$12),
IF(A11='Setup - IPCC Assessment'!F$13, IF('Setup - IPCC Assessment'!R$13="tonne/y",'Setup - IPCC Assessment'!Q$13*D11,'Setup - IPCC Assessment'!Q$13),
IF(A11='Setup - IPCC Assessment'!F$14,IF('Setup - IPCC Assessment'!R$14="tonne/y",'Setup - IPCC Assessment'!Q$14*D11,'Setup - IPCC Assessment'!Q$14),0)))</f>
        <v>0</v>
      </c>
      <c r="C11" s="127">
        <f ca="1">IF(A11='Setup - IPCC Assessment'!F$15,IF('Setup - IPCC Assessment'!R$15="tonne/y",'Setup - IPCC Assessment'!Q$15*D11,'Setup - IPCC Assessment'!Q$15),
IF(A11='Setup - IPCC Assessment'!F$16, IF('Setup - IPCC Assessment'!R$16="tonne/y",'Setup - IPCC Assessment'!Q$16*D11,'Setup - IPCC Assessment'!Q$16),
IF(A11='Setup - IPCC Assessment'!F$17,IF('Setup - IPCC Assessment'!R$17="tonne/y",'Setup - IPCC Assessment'!Q$17*D11,'Setup - IPCC Assessment'!Q$17),0)))</f>
        <v>0</v>
      </c>
      <c r="D11" s="129">
        <v>17.46</v>
      </c>
      <c r="E11" s="129" t="s">
        <v>226</v>
      </c>
      <c r="F11" s="129">
        <v>800</v>
      </c>
      <c r="G11" s="129" t="s">
        <v>1162</v>
      </c>
      <c r="H11" s="234">
        <v>2E-3</v>
      </c>
      <c r="I11" s="234"/>
      <c r="J11" s="241">
        <v>1</v>
      </c>
      <c r="K11" s="146">
        <v>97500</v>
      </c>
      <c r="L11" s="147">
        <v>1.5</v>
      </c>
      <c r="M11" s="146"/>
      <c r="N11" s="146"/>
      <c r="O11" s="146"/>
      <c r="P11" s="147">
        <f t="shared" si="0"/>
        <v>228.84143730813108</v>
      </c>
      <c r="Q11" s="148">
        <f t="shared" ca="1" si="1"/>
        <v>0</v>
      </c>
      <c r="R11" s="148">
        <f t="shared" ca="1" si="2"/>
        <v>0</v>
      </c>
      <c r="S11" s="148">
        <f t="shared" ca="1" si="3"/>
        <v>0</v>
      </c>
      <c r="T11" s="148">
        <f t="shared" ca="1" si="4"/>
        <v>0</v>
      </c>
      <c r="U11" s="148">
        <f t="shared" ca="1" si="5"/>
        <v>0</v>
      </c>
      <c r="V11" s="148">
        <f t="shared" ca="1" si="6"/>
        <v>0</v>
      </c>
      <c r="W11" s="148">
        <f t="shared" ca="1" si="7"/>
        <v>0</v>
      </c>
      <c r="X11" s="148">
        <f t="shared" ca="1" si="8"/>
        <v>0</v>
      </c>
      <c r="Y11" s="148">
        <f t="shared" ca="1" si="9"/>
        <v>0</v>
      </c>
      <c r="Z11" s="190">
        <f t="shared" ca="1" si="10"/>
        <v>0</v>
      </c>
      <c r="AA11" s="190">
        <f t="shared" ca="1" si="11"/>
        <v>0</v>
      </c>
      <c r="AB11" s="190">
        <f t="shared" ca="1" si="12"/>
        <v>0</v>
      </c>
      <c r="AC11" s="190">
        <f t="shared" ca="1" si="13"/>
        <v>0</v>
      </c>
      <c r="AD11" s="148">
        <f t="shared" ca="1" si="14"/>
        <v>0</v>
      </c>
      <c r="AE11" s="171"/>
      <c r="AF11" s="171"/>
      <c r="AG11" s="171"/>
      <c r="AH11" s="171"/>
      <c r="AI11" s="171"/>
    </row>
    <row r="12" spans="1:35" x14ac:dyDescent="0.3">
      <c r="A12" s="140" t="str">
        <f ca="1">'Translation Table'!H320</f>
        <v>Coke</v>
      </c>
      <c r="B12" s="140">
        <f ca="1">IF(A12='Setup - IPCC Assessment'!F$12,IF('Setup - IPCC Assessment'!R$12="tonne/y",'Setup - IPCC Assessment'!Q$12*D12,'Setup - IPCC Assessment'!Q$12),
IF(A12='Setup - IPCC Assessment'!F$13, IF('Setup - IPCC Assessment'!R$13="tonne/y",'Setup - IPCC Assessment'!Q$13*D12,'Setup - IPCC Assessment'!Q$13),
IF(A12='Setup - IPCC Assessment'!F$14,IF('Setup - IPCC Assessment'!R$14="tonne/y",'Setup - IPCC Assessment'!Q$14*D12,'Setup - IPCC Assessment'!Q$14),0)))</f>
        <v>0</v>
      </c>
      <c r="C12" s="140">
        <f ca="1">IF(A12='Setup - IPCC Assessment'!F$15,IF('Setup - IPCC Assessment'!R$15="tonne/y",'Setup - IPCC Assessment'!Q$15*D12,'Setup - IPCC Assessment'!Q$15),
IF(A12='Setup - IPCC Assessment'!F$16, IF('Setup - IPCC Assessment'!R$16="tonne/y",'Setup - IPCC Assessment'!Q$16*D12,'Setup - IPCC Assessment'!Q$16),
IF(A12='Setup - IPCC Assessment'!F$17,IF('Setup - IPCC Assessment'!R$17="tonne/y",'Setup - IPCC Assessment'!Q$17*D12,'Setup - IPCC Assessment'!Q$17),0)))</f>
        <v>0</v>
      </c>
      <c r="D12" s="129">
        <v>28.469000000000001</v>
      </c>
      <c r="E12" s="129" t="s">
        <v>226</v>
      </c>
      <c r="F12" s="129">
        <f>(375+500)/2</f>
        <v>437.5</v>
      </c>
      <c r="G12" s="129" t="s">
        <v>1160</v>
      </c>
      <c r="H12" s="234">
        <v>2E-3</v>
      </c>
      <c r="I12" s="234"/>
      <c r="J12" s="240">
        <v>1</v>
      </c>
      <c r="K12" s="142">
        <v>107000</v>
      </c>
      <c r="L12" s="143">
        <v>1.5</v>
      </c>
      <c r="M12" s="142"/>
      <c r="N12" s="142"/>
      <c r="O12" s="142"/>
      <c r="P12" s="143">
        <f t="shared" si="0"/>
        <v>140.34815045839224</v>
      </c>
      <c r="Q12" s="144">
        <f t="shared" ca="1" si="1"/>
        <v>0</v>
      </c>
      <c r="R12" s="144">
        <f t="shared" ca="1" si="2"/>
        <v>0</v>
      </c>
      <c r="S12" s="144">
        <f t="shared" ca="1" si="3"/>
        <v>0</v>
      </c>
      <c r="T12" s="144">
        <f t="shared" ca="1" si="4"/>
        <v>0</v>
      </c>
      <c r="U12" s="144">
        <f t="shared" ca="1" si="5"/>
        <v>0</v>
      </c>
      <c r="V12" s="144">
        <f t="shared" ca="1" si="6"/>
        <v>0</v>
      </c>
      <c r="W12" s="144">
        <f t="shared" ca="1" si="7"/>
        <v>0</v>
      </c>
      <c r="X12" s="144">
        <f t="shared" ca="1" si="8"/>
        <v>0</v>
      </c>
      <c r="Y12" s="144">
        <f t="shared" ca="1" si="9"/>
        <v>0</v>
      </c>
      <c r="Z12" s="168">
        <f t="shared" ca="1" si="10"/>
        <v>0</v>
      </c>
      <c r="AA12" s="168">
        <f t="shared" ca="1" si="11"/>
        <v>0</v>
      </c>
      <c r="AB12" s="168">
        <f t="shared" ca="1" si="12"/>
        <v>0</v>
      </c>
      <c r="AC12" s="168">
        <f t="shared" ca="1" si="13"/>
        <v>0</v>
      </c>
      <c r="AD12" s="144">
        <f t="shared" ca="1" si="14"/>
        <v>0</v>
      </c>
      <c r="AE12" s="171"/>
      <c r="AF12" s="171"/>
      <c r="AG12" s="171"/>
      <c r="AH12" s="171"/>
      <c r="AI12" s="171"/>
    </row>
    <row r="13" spans="1:35" ht="14.5" x14ac:dyDescent="0.35">
      <c r="A13" s="127" t="str">
        <f ca="1">'Translation Table'!H321</f>
        <v>Petroleum Coke</v>
      </c>
      <c r="B13" s="127">
        <f ca="1">IF(A13='Setup - IPCC Assessment'!F$12,IF('Setup - IPCC Assessment'!R$12="tonne/y",'Setup - IPCC Assessment'!Q$12*D13,'Setup - IPCC Assessment'!Q$12),
IF(A13='Setup - IPCC Assessment'!F$13, IF('Setup - IPCC Assessment'!R$13="tonne/y",'Setup - IPCC Assessment'!Q$13*D13,'Setup - IPCC Assessment'!Q$13),
IF(A13='Setup - IPCC Assessment'!F$14,IF('Setup - IPCC Assessment'!R$14="tonne/y",'Setup - IPCC Assessment'!Q$14*D13,'Setup - IPCC Assessment'!Q$14),0)))</f>
        <v>0</v>
      </c>
      <c r="C13" s="127">
        <f ca="1">IF(A13='Setup - IPCC Assessment'!F$15,IF('Setup - IPCC Assessment'!R$15="tonne/y",'Setup - IPCC Assessment'!Q$15*D13,'Setup - IPCC Assessment'!Q$15),
IF(A13='Setup - IPCC Assessment'!F$16, IF('Setup - IPCC Assessment'!R$16="tonne/y",'Setup - IPCC Assessment'!Q$16*D13,'Setup - IPCC Assessment'!Q$16),
IF(A13='Setup - IPCC Assessment'!F$17,IF('Setup - IPCC Assessment'!R$17="tonne/y",'Setup - IPCC Assessment'!Q$17*D13,'Setup - IPCC Assessment'!Q$17),0)))</f>
        <v>0</v>
      </c>
      <c r="D13" s="129">
        <v>28.469000000000001</v>
      </c>
      <c r="E13" s="129" t="s">
        <v>226</v>
      </c>
      <c r="F13" s="129">
        <v>1350</v>
      </c>
      <c r="G13" s="165" t="s">
        <v>1161</v>
      </c>
      <c r="H13" s="234">
        <v>2E-3</v>
      </c>
      <c r="I13" s="234"/>
      <c r="J13" s="241">
        <v>3</v>
      </c>
      <c r="K13" s="146">
        <v>97500</v>
      </c>
      <c r="L13" s="147">
        <v>0.6</v>
      </c>
      <c r="M13" s="146"/>
      <c r="N13" s="146"/>
      <c r="O13" s="146"/>
      <c r="P13" s="147">
        <f t="shared" si="0"/>
        <v>140.34815045839224</v>
      </c>
      <c r="Q13" s="148">
        <f t="shared" ca="1" si="1"/>
        <v>0</v>
      </c>
      <c r="R13" s="148">
        <f t="shared" ca="1" si="2"/>
        <v>0</v>
      </c>
      <c r="S13" s="148">
        <f t="shared" ca="1" si="3"/>
        <v>0</v>
      </c>
      <c r="T13" s="148">
        <f t="shared" ca="1" si="4"/>
        <v>0</v>
      </c>
      <c r="U13" s="148">
        <f t="shared" ca="1" si="5"/>
        <v>0</v>
      </c>
      <c r="V13" s="148">
        <f t="shared" ca="1" si="6"/>
        <v>0</v>
      </c>
      <c r="W13" s="148">
        <f t="shared" ca="1" si="7"/>
        <v>0</v>
      </c>
      <c r="X13" s="148">
        <f t="shared" ca="1" si="8"/>
        <v>0</v>
      </c>
      <c r="Y13" s="148">
        <f t="shared" ca="1" si="9"/>
        <v>0</v>
      </c>
      <c r="Z13" s="190">
        <f t="shared" ca="1" si="10"/>
        <v>0</v>
      </c>
      <c r="AA13" s="190">
        <f t="shared" ca="1" si="11"/>
        <v>0</v>
      </c>
      <c r="AB13" s="190">
        <f t="shared" ca="1" si="12"/>
        <v>0</v>
      </c>
      <c r="AC13" s="190">
        <f t="shared" ca="1" si="13"/>
        <v>0</v>
      </c>
      <c r="AD13" s="148">
        <f t="shared" ca="1" si="14"/>
        <v>0</v>
      </c>
      <c r="AE13" s="171"/>
      <c r="AF13" s="171"/>
      <c r="AG13" s="171"/>
      <c r="AH13" s="171"/>
      <c r="AI13" s="171"/>
    </row>
    <row r="14" spans="1:35" x14ac:dyDescent="0.3">
      <c r="P14" s="38" t="s">
        <v>113</v>
      </c>
      <c r="Q14" s="39">
        <f t="shared" ref="Q14:AD14" ca="1" si="15">SUM(Q6:Q13)</f>
        <v>0</v>
      </c>
      <c r="R14" s="39">
        <f t="shared" ca="1" si="15"/>
        <v>0</v>
      </c>
      <c r="S14" s="39">
        <f t="shared" ca="1" si="15"/>
        <v>0</v>
      </c>
      <c r="T14" s="39">
        <f t="shared" ca="1" si="15"/>
        <v>0</v>
      </c>
      <c r="U14" s="39">
        <f t="shared" ca="1" si="15"/>
        <v>0</v>
      </c>
      <c r="V14" s="39">
        <f t="shared" ca="1" si="15"/>
        <v>0</v>
      </c>
      <c r="W14" s="39">
        <f t="shared" ca="1" si="15"/>
        <v>0</v>
      </c>
      <c r="X14" s="39">
        <f t="shared" ca="1" si="15"/>
        <v>0</v>
      </c>
      <c r="Y14" s="39">
        <f t="shared" ca="1" si="15"/>
        <v>0</v>
      </c>
      <c r="Z14" s="169">
        <f t="shared" ca="1" si="15"/>
        <v>0</v>
      </c>
      <c r="AA14" s="169">
        <f t="shared" ca="1" si="15"/>
        <v>0</v>
      </c>
      <c r="AB14" s="169">
        <f t="shared" ca="1" si="15"/>
        <v>0</v>
      </c>
      <c r="AC14" s="169">
        <f t="shared" ca="1" si="15"/>
        <v>0</v>
      </c>
      <c r="AD14" s="39">
        <f t="shared" ca="1" si="15"/>
        <v>0</v>
      </c>
      <c r="AE14" s="37"/>
      <c r="AF14" s="37"/>
      <c r="AG14" s="37"/>
      <c r="AH14" s="37"/>
      <c r="AI14" s="37"/>
    </row>
    <row r="15" spans="1:35" ht="22.5" x14ac:dyDescent="0.45">
      <c r="A15" s="32" t="str">
        <f ca="1">'Translation Table'!H305</f>
        <v>Liquid Fuel Properties (IPCC)</v>
      </c>
    </row>
    <row r="16" spans="1:35" s="35" customFormat="1" ht="15.5" x14ac:dyDescent="0.35">
      <c r="J16" s="173"/>
      <c r="K16" s="173"/>
      <c r="L16" s="173"/>
      <c r="M16" s="173"/>
      <c r="N16" s="173"/>
      <c r="O16" s="173"/>
      <c r="P16" s="173"/>
      <c r="Q16" s="173"/>
      <c r="R16" s="173"/>
      <c r="S16" s="173"/>
      <c r="T16" s="173"/>
      <c r="U16" s="173"/>
      <c r="V16" s="173"/>
      <c r="W16" s="173"/>
      <c r="X16" s="173"/>
      <c r="Y16" s="173"/>
      <c r="Z16" s="173"/>
      <c r="AA16" s="173"/>
      <c r="AB16" s="173"/>
      <c r="AC16" s="173"/>
      <c r="AD16" s="173"/>
      <c r="AE16" s="173"/>
    </row>
    <row r="17" spans="1:35" s="35" customFormat="1" ht="36.75" customHeight="1" x14ac:dyDescent="0.35">
      <c r="A17" s="348" t="str">
        <f ca="1">'Translation Table'!H279</f>
        <v>Fuel Type</v>
      </c>
      <c r="B17" s="401" t="str">
        <f ca="1">'Translation Table'!H280</f>
        <v xml:space="preserve">Combusted </v>
      </c>
      <c r="C17" s="419"/>
      <c r="D17" s="401" t="str">
        <f ca="1">'Translation Table'!H284</f>
        <v>Higher Heating Value</v>
      </c>
      <c r="E17" s="419"/>
      <c r="F17" s="401" t="str">
        <f ca="1">'Translation Table'!H295</f>
        <v>Density</v>
      </c>
      <c r="G17" s="419"/>
      <c r="H17" s="401" t="str">
        <f ca="1">'Translation Table'!H335</f>
        <v>S Content</v>
      </c>
      <c r="I17" s="409"/>
      <c r="J17" s="401" t="str">
        <f ca="1">'Translation Table'!H301</f>
        <v>Emission Factors (kg/TJ)</v>
      </c>
      <c r="K17" s="408"/>
      <c r="L17" s="408"/>
      <c r="M17" s="408"/>
      <c r="N17" s="408"/>
      <c r="O17" s="408"/>
      <c r="P17" s="409"/>
      <c r="Q17" s="425" t="str">
        <f ca="1">'Translation Table'!H302</f>
        <v>Emissions Petroleum Refining</v>
      </c>
      <c r="R17" s="426"/>
      <c r="S17" s="426"/>
      <c r="T17" s="408"/>
      <c r="U17" s="408"/>
      <c r="V17" s="408"/>
      <c r="W17" s="409"/>
      <c r="X17" s="403" t="str">
        <f ca="1">'Translation Table'!H303</f>
        <v>Emissions Other Energy Industries</v>
      </c>
      <c r="Y17" s="424"/>
      <c r="Z17" s="424"/>
      <c r="AA17" s="424"/>
      <c r="AB17" s="424"/>
      <c r="AC17" s="424"/>
      <c r="AD17" s="424"/>
      <c r="AE17" s="172"/>
      <c r="AF17" s="172"/>
      <c r="AG17" s="174"/>
      <c r="AH17" s="172"/>
      <c r="AI17" s="172"/>
    </row>
    <row r="18" spans="1:35" s="35" customFormat="1" ht="15.5" x14ac:dyDescent="0.35">
      <c r="A18" s="417"/>
      <c r="B18" s="401" t="str">
        <f ca="1">'Translation Table'!H281</f>
        <v>Amount (GJ/y)</v>
      </c>
      <c r="C18" s="419"/>
      <c r="D18" s="33" t="str">
        <f ca="1">'Translation Table'!H285</f>
        <v>Value</v>
      </c>
      <c r="E18" s="348" t="str">
        <f ca="1">'Translation Table'!H286</f>
        <v>Reference</v>
      </c>
      <c r="F18" s="33" t="str">
        <f ca="1">'Translation Table'!H298</f>
        <v>Value</v>
      </c>
      <c r="G18" s="348" t="str">
        <f ca="1">'Translation Table'!H286</f>
        <v>Reference</v>
      </c>
      <c r="H18" s="33" t="str">
        <f ca="1">'Translation Table'!H298</f>
        <v>Value</v>
      </c>
      <c r="I18" s="348" t="str">
        <f ca="1">'Translation Table'!H286</f>
        <v>Reference</v>
      </c>
      <c r="J18" s="405" t="str">
        <f ca="1">'Translation Table'!H287</f>
        <v>CH4</v>
      </c>
      <c r="K18" s="405" t="str">
        <f ca="1">'Translation Table'!H288</f>
        <v>CO2</v>
      </c>
      <c r="L18" s="405" t="str">
        <f ca="1">'Translation Table'!H289</f>
        <v>N2O</v>
      </c>
      <c r="M18" s="398" t="str">
        <f ca="1">'Translation Table'!H290</f>
        <v>NOx</v>
      </c>
      <c r="N18" s="398" t="str">
        <f ca="1">'Translation Table'!H291</f>
        <v>CO</v>
      </c>
      <c r="O18" s="398" t="str">
        <f ca="1">'Translation Table'!H292</f>
        <v>NMVOC</v>
      </c>
      <c r="P18" s="405" t="str">
        <f ca="1">'Translation Table'!H293</f>
        <v>SO2</v>
      </c>
      <c r="Q18" s="122" t="str">
        <f ca="1">'Translation Table'!H287</f>
        <v>CH4</v>
      </c>
      <c r="R18" s="122" t="str">
        <f ca="1">'Translation Table'!H288</f>
        <v>CO2</v>
      </c>
      <c r="S18" s="122" t="str">
        <f ca="1">'Translation Table'!H289</f>
        <v>N2O</v>
      </c>
      <c r="T18" s="122" t="str">
        <f ca="1">'Translation Table'!H290</f>
        <v>NOx</v>
      </c>
      <c r="U18" s="122" t="str">
        <f ca="1">'Translation Table'!H291</f>
        <v>CO</v>
      </c>
      <c r="V18" s="122" t="str">
        <f ca="1">'Translation Table'!H292</f>
        <v>NMVOC</v>
      </c>
      <c r="W18" s="122" t="str">
        <f ca="1">'Translation Table'!H293</f>
        <v>SO2</v>
      </c>
      <c r="X18" s="122" t="str">
        <f ca="1">'Translation Table'!H287</f>
        <v>CH4</v>
      </c>
      <c r="Y18" s="122" t="str">
        <f ca="1">'Translation Table'!H288</f>
        <v>CO2</v>
      </c>
      <c r="Z18" s="122" t="str">
        <f ca="1">'Translation Table'!H289</f>
        <v>N2O</v>
      </c>
      <c r="AA18" s="122" t="str">
        <f ca="1">'Translation Table'!H290</f>
        <v>NOx</v>
      </c>
      <c r="AB18" s="122" t="str">
        <f ca="1">'Translation Table'!H291</f>
        <v>CO</v>
      </c>
      <c r="AC18" s="122" t="str">
        <f ca="1">'Translation Table'!H292</f>
        <v>NMVOC</v>
      </c>
      <c r="AD18" s="122" t="str">
        <f ca="1">'Translation Table'!H293</f>
        <v>SO2</v>
      </c>
      <c r="AE18" s="170"/>
      <c r="AF18" s="170"/>
      <c r="AG18" s="170"/>
      <c r="AH18" s="170"/>
      <c r="AI18" s="170"/>
    </row>
    <row r="19" spans="1:35" s="35" customFormat="1" ht="15.5" x14ac:dyDescent="0.35">
      <c r="A19" s="418"/>
      <c r="B19" s="139" t="str">
        <f ca="1">'Translation Table'!H282</f>
        <v>Petroleum Refining</v>
      </c>
      <c r="C19" s="139" t="str">
        <f ca="1">'Translation Table'!H283</f>
        <v>Other Energy Industries</v>
      </c>
      <c r="D19" s="33" t="str">
        <f ca="1">'Translation Table'!H333</f>
        <v>(GJ/Tonne)</v>
      </c>
      <c r="E19" s="416"/>
      <c r="F19" s="33" t="str">
        <f ca="1">'Translation Table'!H334</f>
        <v>(kg/m3)</v>
      </c>
      <c r="G19" s="416"/>
      <c r="H19" s="33" t="str">
        <f ca="1">'Translation Table'!H336</f>
        <v>(Mass %)</v>
      </c>
      <c r="I19" s="418"/>
      <c r="J19" s="406"/>
      <c r="K19" s="406"/>
      <c r="L19" s="406"/>
      <c r="M19" s="399"/>
      <c r="N19" s="399"/>
      <c r="O19" s="399"/>
      <c r="P19" s="406"/>
      <c r="Q19" s="122" t="str">
        <f ca="1">'Translation Table'!H294</f>
        <v>(tonnes/y)</v>
      </c>
      <c r="R19" s="122" t="str">
        <f ca="1">'Translation Table'!H294</f>
        <v>(tonnes/y)</v>
      </c>
      <c r="S19" s="122" t="str">
        <f ca="1">'Translation Table'!H294</f>
        <v>(tonnes/y)</v>
      </c>
      <c r="T19" s="122" t="str">
        <f ca="1">'Translation Table'!H294</f>
        <v>(tonnes/y)</v>
      </c>
      <c r="U19" s="122" t="str">
        <f ca="1">'Translation Table'!H294</f>
        <v>(tonnes/y)</v>
      </c>
      <c r="V19" s="122" t="str">
        <f ca="1">'Translation Table'!H294</f>
        <v>(tonnes/y)</v>
      </c>
      <c r="W19" s="122" t="str">
        <f ca="1">'Translation Table'!H294</f>
        <v>(tonnes/y)</v>
      </c>
      <c r="X19" s="122" t="str">
        <f ca="1">'Translation Table'!H294</f>
        <v>(tonnes/y)</v>
      </c>
      <c r="Y19" s="122" t="str">
        <f ca="1">'Translation Table'!H294</f>
        <v>(tonnes/y)</v>
      </c>
      <c r="Z19" s="122" t="str">
        <f ca="1">'Translation Table'!H294</f>
        <v>(tonnes/y)</v>
      </c>
      <c r="AA19" s="122" t="str">
        <f ca="1">'Translation Table'!H294</f>
        <v>(tonnes/y)</v>
      </c>
      <c r="AB19" s="122" t="str">
        <f ca="1">'Translation Table'!H294</f>
        <v>(tonnes/y)</v>
      </c>
      <c r="AC19" s="122" t="str">
        <f ca="1">'Translation Table'!H294</f>
        <v>(tonnes/y)</v>
      </c>
      <c r="AD19" s="122" t="str">
        <f ca="1">'Translation Table'!H294</f>
        <v>(tonnes/y)</v>
      </c>
      <c r="AE19" s="170"/>
      <c r="AF19" s="170"/>
      <c r="AG19" s="170"/>
      <c r="AH19" s="170"/>
      <c r="AI19" s="170"/>
    </row>
    <row r="20" spans="1:35" x14ac:dyDescent="0.3">
      <c r="A20" s="140" t="str">
        <f ca="1">'Translation Table'!H322</f>
        <v>Crude Oil</v>
      </c>
      <c r="B20" s="140">
        <f ca="1">IF(A20='Setup - IPCC Assessment'!I$12,IF('Setup - IPCC Assessment'!V$12="m3/h",'Setup - IPCC Assessment'!U$12*F20*D20*8760/1000,IF('Setup - IPCC Assessment'!V$12="tonne/y",'Setup - IPCC Assessment'!U$12*D20,'Setup - IPCC Assessment'!U$12)),
IF(A20='Setup - IPCC Assessment'!I$13, IF('Setup - IPCC Assessment'!V$13="m3/h",'Setup - IPCC Assessment'!U$13*F20*D20*8760/1000,IF('Setup - IPCC Assessment'!V$13="tonne/y",'Setup - IPCC Assessment'!U$13*D20,'Setup - IPCC Assessment'!U$13)),
IF(A20='Setup - IPCC Assessment'!I$14,IF('Setup - IPCC Assessment'!V$14="m3/h",'Setup - IPCC Assessment'!U$14*F20*D20*8760/1000,IF('Setup - IPCC Assessment'!V$14="tonne/y",'Setup - IPCC Assessment'!U$14*D20,'Setup - IPCC Assessment'!U$14)),0)))</f>
        <v>0</v>
      </c>
      <c r="C20" s="140">
        <f ca="1">IF(A20='Setup - IPCC Assessment'!I$15,IF('Setup - IPCC Assessment'!V$15="m3/h",'Setup - IPCC Assessment'!U$15*F20*D20*8760/1000,IF('Setup - IPCC Assessment'!V$15="tonne/y",'Setup - IPCC Assessment'!U$15*D20,'Setup - IPCC Assessment'!U$15)),
IF(A20='Setup - IPCC Assessment'!I$16, IF('Setup - IPCC Assessment'!V$16="m3/h",'Setup - IPCC Assessment'!U$16*F20*D20*8760/1000,IF('Setup - IPCC Assessment'!V$16="tonne/y",'Setup - IPCC Assessment'!U$16*D20,'Setup - IPCC Assessment'!U$16)),
IF(A20='Setup - IPCC Assessment'!I$17,IF('Setup - IPCC Assessment'!V$17="m3/h",'Setup - IPCC Assessment'!U$17*F20*D20*8760/1000,IF('Setup - IPCC Assessment'!V$17="tonne/y",'Setup - IPCC Assessment'!U$17*D20,'Setup - IPCC Assessment'!U$17)),0)))</f>
        <v>0</v>
      </c>
      <c r="D20" s="130">
        <f>((3.87*10^10)/873.46)/1000000</f>
        <v>44.306550958257958</v>
      </c>
      <c r="E20" s="129" t="s">
        <v>767</v>
      </c>
      <c r="F20" s="129">
        <v>873.46</v>
      </c>
      <c r="G20" s="129" t="s">
        <v>767</v>
      </c>
      <c r="H20" s="234">
        <v>5.0000000000000001E-4</v>
      </c>
      <c r="I20" s="234"/>
      <c r="J20" s="141">
        <v>3</v>
      </c>
      <c r="K20" s="142">
        <v>73300</v>
      </c>
      <c r="L20" s="143">
        <v>0.6</v>
      </c>
      <c r="M20" s="142"/>
      <c r="N20" s="142"/>
      <c r="O20" s="142"/>
      <c r="P20" s="143">
        <f t="shared" ref="P20:P29" si="16">1/D20*H20*M_SO2/M_S*1000*1000</f>
        <v>22.545037973979696</v>
      </c>
      <c r="Q20" s="144">
        <f t="shared" ref="Q20:W20" ca="1" si="17">IFERROR($B20*J20/1000/1000,0)</f>
        <v>0</v>
      </c>
      <c r="R20" s="144">
        <f t="shared" ca="1" si="17"/>
        <v>0</v>
      </c>
      <c r="S20" s="144">
        <f t="shared" ca="1" si="17"/>
        <v>0</v>
      </c>
      <c r="T20" s="144">
        <f t="shared" ca="1" si="17"/>
        <v>0</v>
      </c>
      <c r="U20" s="144">
        <f t="shared" ca="1" si="17"/>
        <v>0</v>
      </c>
      <c r="V20" s="144">
        <f t="shared" ca="1" si="17"/>
        <v>0</v>
      </c>
      <c r="W20" s="144">
        <f t="shared" ca="1" si="17"/>
        <v>0</v>
      </c>
      <c r="X20" s="144">
        <f t="shared" ref="X20:AD20" ca="1" si="18">IFERROR($C20*J20/1000/1000,0)</f>
        <v>0</v>
      </c>
      <c r="Y20" s="144">
        <f t="shared" ca="1" si="18"/>
        <v>0</v>
      </c>
      <c r="Z20" s="144">
        <f t="shared" ca="1" si="18"/>
        <v>0</v>
      </c>
      <c r="AA20" s="144">
        <f t="shared" ca="1" si="18"/>
        <v>0</v>
      </c>
      <c r="AB20" s="144">
        <f t="shared" ca="1" si="18"/>
        <v>0</v>
      </c>
      <c r="AC20" s="144">
        <f t="shared" ca="1" si="18"/>
        <v>0</v>
      </c>
      <c r="AD20" s="144">
        <f t="shared" ca="1" si="18"/>
        <v>0</v>
      </c>
      <c r="AE20" s="171"/>
      <c r="AF20" s="171"/>
      <c r="AG20" s="171"/>
      <c r="AH20" s="171"/>
      <c r="AI20" s="171"/>
    </row>
    <row r="21" spans="1:35" x14ac:dyDescent="0.3">
      <c r="A21" s="127" t="str">
        <f ca="1">'Translation Table'!H323</f>
        <v>Fuel Oil</v>
      </c>
      <c r="B21" s="127">
        <f ca="1">IF(A21='Setup - IPCC Assessment'!I$12,IF('Setup - IPCC Assessment'!V$12="m3/h",'Setup - IPCC Assessment'!U$12*F21*D21*8760/1000,IF('Setup - IPCC Assessment'!V$12="tonne/y",'Setup - IPCC Assessment'!U$12*D21,'Setup - IPCC Assessment'!U$12)),
IF(A21='Setup - IPCC Assessment'!I$13, IF('Setup - IPCC Assessment'!V$13="m3/h",'Setup - IPCC Assessment'!U$13*F21*D21*8760/1000,IF('Setup - IPCC Assessment'!V$13="tonne/y",'Setup - IPCC Assessment'!U$13*D21,'Setup - IPCC Assessment'!U$13)),
IF(A21='Setup - IPCC Assessment'!I$14,IF('Setup - IPCC Assessment'!V$14="m3/h",'Setup - IPCC Assessment'!U$14*F21*D21*8760/1000,IF('Setup - IPCC Assessment'!V$14="tonne/y",'Setup - IPCC Assessment'!U$14*D21,'Setup - IPCC Assessment'!U$14)),0)))</f>
        <v>0</v>
      </c>
      <c r="C21" s="127">
        <f ca="1">IF(A21='Setup - IPCC Assessment'!I$15,IF('Setup - IPCC Assessment'!V$15="m3/h",'Setup - IPCC Assessment'!U$15*F21*D21*8760/1000,IF('Setup - IPCC Assessment'!V$15="tonne/y",'Setup - IPCC Assessment'!U$15*D21,'Setup - IPCC Assessment'!U$15)),
IF(A21='Setup - IPCC Assessment'!I$16, IF('Setup - IPCC Assessment'!V$16="m3/h",'Setup - IPCC Assessment'!U$16*F21*D21*8760/1000,IF('Setup - IPCC Assessment'!V$16="tonne/y",'Setup - IPCC Assessment'!U$16*D21,'Setup - IPCC Assessment'!U$16)),
IF(A21='Setup - IPCC Assessment'!I$17,IF('Setup - IPCC Assessment'!V$17="m3/h",'Setup - IPCC Assessment'!U$17*F21*D21*8760/1000,IF('Setup - IPCC Assessment'!V$17="tonne/y",'Setup - IPCC Assessment'!U$17*D21,'Setup - IPCC Assessment'!U$17)),0)))</f>
        <v>0</v>
      </c>
      <c r="D21" s="130">
        <f>((3.99*10^10)/909.48)/1000000</f>
        <v>43.871223116506137</v>
      </c>
      <c r="E21" s="129" t="s">
        <v>767</v>
      </c>
      <c r="F21" s="129">
        <v>909.48</v>
      </c>
      <c r="G21" s="129" t="s">
        <v>767</v>
      </c>
      <c r="H21" s="234">
        <v>5.0000000000000001E-4</v>
      </c>
      <c r="I21" s="234"/>
      <c r="J21" s="145">
        <v>3</v>
      </c>
      <c r="K21" s="146">
        <v>77400</v>
      </c>
      <c r="L21" s="147">
        <v>0.6</v>
      </c>
      <c r="M21" s="146"/>
      <c r="N21" s="146"/>
      <c r="O21" s="146"/>
      <c r="P21" s="147">
        <f t="shared" si="16"/>
        <v>22.768749145591251</v>
      </c>
      <c r="Q21" s="148">
        <f t="shared" ref="Q21:W29" ca="1" si="19">IFERROR($B21*J21/1000/1000,0)</f>
        <v>0</v>
      </c>
      <c r="R21" s="148">
        <f t="shared" ca="1" si="19"/>
        <v>0</v>
      </c>
      <c r="S21" s="148">
        <f t="shared" ca="1" si="19"/>
        <v>0</v>
      </c>
      <c r="T21" s="148">
        <f t="shared" ca="1" si="19"/>
        <v>0</v>
      </c>
      <c r="U21" s="148">
        <f t="shared" ca="1" si="19"/>
        <v>0</v>
      </c>
      <c r="V21" s="148">
        <f t="shared" ca="1" si="19"/>
        <v>0</v>
      </c>
      <c r="W21" s="148">
        <f t="shared" ca="1" si="19"/>
        <v>0</v>
      </c>
      <c r="X21" s="148">
        <f t="shared" ref="X21:AD29" ca="1" si="20">IFERROR($C21*J21/1000/1000,0)</f>
        <v>0</v>
      </c>
      <c r="Y21" s="148">
        <f t="shared" ca="1" si="20"/>
        <v>0</v>
      </c>
      <c r="Z21" s="148">
        <f t="shared" ca="1" si="20"/>
        <v>0</v>
      </c>
      <c r="AA21" s="148">
        <f t="shared" ca="1" si="20"/>
        <v>0</v>
      </c>
      <c r="AB21" s="148">
        <f t="shared" ca="1" si="20"/>
        <v>0</v>
      </c>
      <c r="AC21" s="148">
        <f t="shared" ca="1" si="20"/>
        <v>0</v>
      </c>
      <c r="AD21" s="148">
        <f t="shared" ca="1" si="20"/>
        <v>0</v>
      </c>
      <c r="AE21" s="171"/>
      <c r="AF21" s="171"/>
      <c r="AG21" s="171"/>
      <c r="AH21" s="171"/>
      <c r="AI21" s="171"/>
    </row>
    <row r="22" spans="1:35" x14ac:dyDescent="0.3">
      <c r="A22" s="140" t="str">
        <f ca="1">'Translation Table'!H324</f>
        <v>Gasoline</v>
      </c>
      <c r="B22" s="140">
        <f ca="1">IF(A22='Setup - IPCC Assessment'!I$12,IF('Setup - IPCC Assessment'!V$12="m3/h",'Setup - IPCC Assessment'!U$12*F22*D22*8760/1000,IF('Setup - IPCC Assessment'!V$12="tonne/y",'Setup - IPCC Assessment'!U$12*D22,'Setup - IPCC Assessment'!U$12)),
IF(A22='Setup - IPCC Assessment'!I$13, IF('Setup - IPCC Assessment'!V$13="m3/h",'Setup - IPCC Assessment'!U$13*F22*D22*8760/1000,IF('Setup - IPCC Assessment'!V$13="tonne/y",'Setup - IPCC Assessment'!U$13*D22,'Setup - IPCC Assessment'!U$13)),
IF(A22='Setup - IPCC Assessment'!I$14,IF('Setup - IPCC Assessment'!V$14="m3/h",'Setup - IPCC Assessment'!U$14*F22*D22*8760/1000,IF('Setup - IPCC Assessment'!V$14="tonne/y",'Setup - IPCC Assessment'!U$14*D22,'Setup - IPCC Assessment'!U$14)),0)))</f>
        <v>0</v>
      </c>
      <c r="C22" s="140">
        <f ca="1">IF(A22='Setup - IPCC Assessment'!I$15,IF('Setup - IPCC Assessment'!V$15="m3/h",'Setup - IPCC Assessment'!U$15*F22*D22*8760/1000,IF('Setup - IPCC Assessment'!V$15="tonne/y",'Setup - IPCC Assessment'!U$15*D22,'Setup - IPCC Assessment'!U$15)),
IF(A22='Setup - IPCC Assessment'!I$16, IF('Setup - IPCC Assessment'!V$16="m3/h",'Setup - IPCC Assessment'!U$16*F22*D22*8760/1000,IF('Setup - IPCC Assessment'!V$16="tonne/y",'Setup - IPCC Assessment'!U$16*D22,'Setup - IPCC Assessment'!U$16)),
IF(A22='Setup - IPCC Assessment'!I$17,IF('Setup - IPCC Assessment'!V$17="m3/h",'Setup - IPCC Assessment'!U$17*F22*D22*8760/1000,IF('Setup - IPCC Assessment'!V$17="tonne/y",'Setup - IPCC Assessment'!U$17*D22,'Setup - IPCC Assessment'!U$17)),0)))</f>
        <v>0</v>
      </c>
      <c r="D22" s="130">
        <f>((3.49*10^10)/742.39)/1000000</f>
        <v>47.010331496922106</v>
      </c>
      <c r="E22" s="129" t="s">
        <v>767</v>
      </c>
      <c r="F22" s="129">
        <v>742.39</v>
      </c>
      <c r="G22" s="129" t="s">
        <v>767</v>
      </c>
      <c r="H22" s="234">
        <v>5.0000000000000001E-4</v>
      </c>
      <c r="I22" s="234"/>
      <c r="J22" s="141">
        <v>3</v>
      </c>
      <c r="K22" s="142">
        <v>69300</v>
      </c>
      <c r="L22" s="143">
        <v>0.6</v>
      </c>
      <c r="M22" s="142"/>
      <c r="N22" s="142"/>
      <c r="O22" s="142"/>
      <c r="P22" s="143">
        <f t="shared" si="16"/>
        <v>21.248369072134544</v>
      </c>
      <c r="Q22" s="144">
        <f t="shared" ca="1" si="19"/>
        <v>0</v>
      </c>
      <c r="R22" s="144">
        <f t="shared" ca="1" si="19"/>
        <v>0</v>
      </c>
      <c r="S22" s="144">
        <f t="shared" ca="1" si="19"/>
        <v>0</v>
      </c>
      <c r="T22" s="144">
        <f t="shared" ca="1" si="19"/>
        <v>0</v>
      </c>
      <c r="U22" s="144">
        <f t="shared" ca="1" si="19"/>
        <v>0</v>
      </c>
      <c r="V22" s="144">
        <f t="shared" ca="1" si="19"/>
        <v>0</v>
      </c>
      <c r="W22" s="144">
        <f t="shared" ca="1" si="19"/>
        <v>0</v>
      </c>
      <c r="X22" s="144">
        <f t="shared" ca="1" si="20"/>
        <v>0</v>
      </c>
      <c r="Y22" s="144">
        <f t="shared" ca="1" si="20"/>
        <v>0</v>
      </c>
      <c r="Z22" s="144">
        <f t="shared" ca="1" si="20"/>
        <v>0</v>
      </c>
      <c r="AA22" s="144">
        <f t="shared" ca="1" si="20"/>
        <v>0</v>
      </c>
      <c r="AB22" s="144">
        <f t="shared" ca="1" si="20"/>
        <v>0</v>
      </c>
      <c r="AC22" s="144">
        <f t="shared" ca="1" si="20"/>
        <v>0</v>
      </c>
      <c r="AD22" s="144">
        <f t="shared" ca="1" si="20"/>
        <v>0</v>
      </c>
      <c r="AE22" s="171"/>
      <c r="AF22" s="171"/>
      <c r="AG22" s="171"/>
      <c r="AH22" s="171"/>
      <c r="AI22" s="171"/>
    </row>
    <row r="23" spans="1:35" x14ac:dyDescent="0.3">
      <c r="A23" s="127" t="str">
        <f ca="1">'Translation Table'!H325</f>
        <v>Diesel</v>
      </c>
      <c r="B23" s="127">
        <f ca="1">IF(A23='Setup - IPCC Assessment'!I$12,IF('Setup - IPCC Assessment'!V$12="m3/h",'Setup - IPCC Assessment'!U$12*F23*D23*8760/1000,IF('Setup - IPCC Assessment'!V$12="tonne/y",'Setup - IPCC Assessment'!U$12*D23,'Setup - IPCC Assessment'!U$12)),
IF(A23='Setup - IPCC Assessment'!I$13, IF('Setup - IPCC Assessment'!V$13="m3/h",'Setup - IPCC Assessment'!U$13*F23*D23*8760/1000,IF('Setup - IPCC Assessment'!V$13="tonne/y",'Setup - IPCC Assessment'!U$13*D23,'Setup - IPCC Assessment'!U$13)),
IF(A23='Setup - IPCC Assessment'!I$14,IF('Setup - IPCC Assessment'!V$14="m3/h",'Setup - IPCC Assessment'!U$14*F23*D23*8760/1000,IF('Setup - IPCC Assessment'!V$14="tonne/y",'Setup - IPCC Assessment'!U$14*D23,'Setup - IPCC Assessment'!U$14)),0)))</f>
        <v>678024</v>
      </c>
      <c r="C23" s="127">
        <f ca="1">IF(A23='Setup - IPCC Assessment'!I$15,IF('Setup - IPCC Assessment'!V$15="m3/h",'Setup - IPCC Assessment'!U$15*F23*D23*8760/1000,IF('Setup - IPCC Assessment'!V$15="tonne/y",'Setup - IPCC Assessment'!U$15*D23,'Setup - IPCC Assessment'!U$15)),
IF(A23='Setup - IPCC Assessment'!I$16, IF('Setup - IPCC Assessment'!V$16="m3/h",'Setup - IPCC Assessment'!U$16*F23*D23*8760/1000,IF('Setup - IPCC Assessment'!V$16="tonne/y",'Setup - IPCC Assessment'!U$16*D23,'Setup - IPCC Assessment'!U$16)),
IF(A23='Setup - IPCC Assessment'!I$17,IF('Setup - IPCC Assessment'!V$17="m3/h",'Setup - IPCC Assessment'!U$17*F23*D23*8760/1000,IF('Setup - IPCC Assessment'!V$17="tonne/y",'Setup - IPCC Assessment'!U$17*D23,'Setup - IPCC Assessment'!U$17)),0)))</f>
        <v>400.10385809207963</v>
      </c>
      <c r="D23" s="130">
        <f>((3.87*10^10)/847.31)/1000000</f>
        <v>45.673956403205437</v>
      </c>
      <c r="E23" s="129" t="s">
        <v>767</v>
      </c>
      <c r="F23" s="129">
        <v>847.31</v>
      </c>
      <c r="G23" s="129" t="s">
        <v>767</v>
      </c>
      <c r="H23" s="234">
        <v>5.0000000000000001E-4</v>
      </c>
      <c r="I23" s="234"/>
      <c r="J23" s="145">
        <v>3</v>
      </c>
      <c r="K23" s="146">
        <v>74100</v>
      </c>
      <c r="L23" s="147">
        <v>0.6</v>
      </c>
      <c r="M23" s="146"/>
      <c r="N23" s="146"/>
      <c r="O23" s="146"/>
      <c r="P23" s="147">
        <f t="shared" si="16"/>
        <v>21.870075476533255</v>
      </c>
      <c r="Q23" s="148">
        <f t="shared" ca="1" si="19"/>
        <v>2.0340720000000001</v>
      </c>
      <c r="R23" s="148">
        <f t="shared" ca="1" si="19"/>
        <v>50241.578399999999</v>
      </c>
      <c r="S23" s="148">
        <f t="shared" ca="1" si="19"/>
        <v>0.40681439999999996</v>
      </c>
      <c r="T23" s="148">
        <f t="shared" ca="1" si="19"/>
        <v>0</v>
      </c>
      <c r="U23" s="148">
        <f t="shared" ca="1" si="19"/>
        <v>0</v>
      </c>
      <c r="V23" s="148">
        <f t="shared" ca="1" si="19"/>
        <v>0</v>
      </c>
      <c r="W23" s="148">
        <f t="shared" ca="1" si="19"/>
        <v>14.828436054900983</v>
      </c>
      <c r="X23" s="148">
        <f t="shared" ca="1" si="20"/>
        <v>1.2003115742762389E-3</v>
      </c>
      <c r="Y23" s="148">
        <f t="shared" ca="1" si="20"/>
        <v>29.647695884623101</v>
      </c>
      <c r="Z23" s="148">
        <f t="shared" ca="1" si="20"/>
        <v>2.4006231485524776E-4</v>
      </c>
      <c r="AA23" s="148">
        <f t="shared" ca="1" si="20"/>
        <v>0</v>
      </c>
      <c r="AB23" s="148">
        <f t="shared" ca="1" si="20"/>
        <v>0</v>
      </c>
      <c r="AC23" s="148">
        <f t="shared" ca="1" si="20"/>
        <v>0</v>
      </c>
      <c r="AD23" s="148">
        <f t="shared" ca="1" si="20"/>
        <v>8.7503015749259318E-3</v>
      </c>
      <c r="AE23" s="171"/>
      <c r="AF23" s="171"/>
      <c r="AG23" s="171"/>
      <c r="AH23" s="171"/>
      <c r="AI23" s="171"/>
    </row>
    <row r="24" spans="1:35" x14ac:dyDescent="0.3">
      <c r="A24" s="140" t="str">
        <f ca="1">'Translation Table'!H326</f>
        <v>Aviation Kerosene</v>
      </c>
      <c r="B24" s="140">
        <f ca="1">IF(A24='Setup - IPCC Assessment'!I$12,IF('Setup - IPCC Assessment'!V$12="m3/h",'Setup - IPCC Assessment'!U$12*F24*D24*8760/1000,IF('Setup - IPCC Assessment'!V$12="tonne/y",'Setup - IPCC Assessment'!U$12*D24,'Setup - IPCC Assessment'!U$12)),
IF(A24='Setup - IPCC Assessment'!I$13, IF('Setup - IPCC Assessment'!V$13="m3/h",'Setup - IPCC Assessment'!U$13*F24*D24*8760/1000,IF('Setup - IPCC Assessment'!V$13="tonne/y",'Setup - IPCC Assessment'!U$13*D24,'Setup - IPCC Assessment'!U$13)),
IF(A24='Setup - IPCC Assessment'!I$14,IF('Setup - IPCC Assessment'!V$14="m3/h",'Setup - IPCC Assessment'!U$14*F24*D24*8760/1000,IF('Setup - IPCC Assessment'!V$14="tonne/y",'Setup - IPCC Assessment'!U$14*D24,'Setup - IPCC Assessment'!U$14)),0)))</f>
        <v>0</v>
      </c>
      <c r="C24" s="140">
        <f ca="1">IF(A24='Setup - IPCC Assessment'!I$15,IF('Setup - IPCC Assessment'!V$15="m3/h",'Setup - IPCC Assessment'!U$15*F24*D24*8760/1000,IF('Setup - IPCC Assessment'!V$15="tonne/y",'Setup - IPCC Assessment'!U$15*D24,'Setup - IPCC Assessment'!U$15)),
IF(A24='Setup - IPCC Assessment'!I$16, IF('Setup - IPCC Assessment'!V$16="m3/h",'Setup - IPCC Assessment'!U$16*F24*D24*8760/1000,IF('Setup - IPCC Assessment'!V$16="tonne/y",'Setup - IPCC Assessment'!U$16*D24,'Setup - IPCC Assessment'!U$16)),
IF(A24='Setup - IPCC Assessment'!I$17,IF('Setup - IPCC Assessment'!V$17="m3/h",'Setup - IPCC Assessment'!U$17*F24*D24*8760/1000,IF('Setup - IPCC Assessment'!V$17="tonne/y",'Setup - IPCC Assessment'!U$17*D24,'Setup - IPCC Assessment'!U$17)),0)))</f>
        <v>0</v>
      </c>
      <c r="D24" s="130">
        <f>((3.76*10^10)/815.56)/1000000</f>
        <v>46.103290990239834</v>
      </c>
      <c r="E24" s="129" t="s">
        <v>767</v>
      </c>
      <c r="F24" s="129">
        <v>815.56</v>
      </c>
      <c r="G24" s="129" t="s">
        <v>767</v>
      </c>
      <c r="H24" s="234">
        <v>5.0000000000000001E-4</v>
      </c>
      <c r="I24" s="234"/>
      <c r="J24" s="141">
        <v>3</v>
      </c>
      <c r="K24" s="142">
        <v>71500</v>
      </c>
      <c r="L24" s="143">
        <v>0.6</v>
      </c>
      <c r="M24" s="142"/>
      <c r="N24" s="142"/>
      <c r="O24" s="142"/>
      <c r="P24" s="143">
        <f t="shared" si="16"/>
        <v>21.666411494603715</v>
      </c>
      <c r="Q24" s="144">
        <f t="shared" ca="1" si="19"/>
        <v>0</v>
      </c>
      <c r="R24" s="144">
        <f t="shared" ca="1" si="19"/>
        <v>0</v>
      </c>
      <c r="S24" s="144">
        <f t="shared" ca="1" si="19"/>
        <v>0</v>
      </c>
      <c r="T24" s="144">
        <f t="shared" ca="1" si="19"/>
        <v>0</v>
      </c>
      <c r="U24" s="144">
        <f t="shared" ca="1" si="19"/>
        <v>0</v>
      </c>
      <c r="V24" s="144">
        <f t="shared" ca="1" si="19"/>
        <v>0</v>
      </c>
      <c r="W24" s="144">
        <f t="shared" ca="1" si="19"/>
        <v>0</v>
      </c>
      <c r="X24" s="144">
        <f t="shared" ca="1" si="20"/>
        <v>0</v>
      </c>
      <c r="Y24" s="144">
        <f t="shared" ca="1" si="20"/>
        <v>0</v>
      </c>
      <c r="Z24" s="144">
        <f t="shared" ca="1" si="20"/>
        <v>0</v>
      </c>
      <c r="AA24" s="144">
        <f t="shared" ca="1" si="20"/>
        <v>0</v>
      </c>
      <c r="AB24" s="144">
        <f t="shared" ca="1" si="20"/>
        <v>0</v>
      </c>
      <c r="AC24" s="144">
        <f t="shared" ca="1" si="20"/>
        <v>0</v>
      </c>
      <c r="AD24" s="144">
        <f t="shared" ca="1" si="20"/>
        <v>0</v>
      </c>
      <c r="AE24" s="171"/>
      <c r="AF24" s="171"/>
      <c r="AG24" s="171"/>
      <c r="AH24" s="171"/>
      <c r="AI24" s="171"/>
    </row>
    <row r="25" spans="1:35" x14ac:dyDescent="0.3">
      <c r="A25" s="127" t="str">
        <f ca="1">'Translation Table'!H327</f>
        <v>Common Kerosene</v>
      </c>
      <c r="B25" s="127">
        <f ca="1">IF(A25='Setup - IPCC Assessment'!I$12,IF('Setup - IPCC Assessment'!V$12="m3/h",'Setup - IPCC Assessment'!U$12*F25*D25*8760/1000,IF('Setup - IPCC Assessment'!V$12="tonne/y",'Setup - IPCC Assessment'!U$12*D25,'Setup - IPCC Assessment'!U$12)),
IF(A25='Setup - IPCC Assessment'!I$13, IF('Setup - IPCC Assessment'!V$13="m3/h",'Setup - IPCC Assessment'!U$13*F25*D25*8760/1000,IF('Setup - IPCC Assessment'!V$13="tonne/y",'Setup - IPCC Assessment'!U$13*D25,'Setup - IPCC Assessment'!U$13)),
IF(A25='Setup - IPCC Assessment'!I$14,IF('Setup - IPCC Assessment'!V$14="m3/h",'Setup - IPCC Assessment'!U$14*F25*D25*8760/1000,IF('Setup - IPCC Assessment'!V$14="tonne/y",'Setup - IPCC Assessment'!U$14*D25,'Setup - IPCC Assessment'!U$14)),0)))</f>
        <v>0</v>
      </c>
      <c r="C25" s="127">
        <f ca="1">IF(A25='Setup - IPCC Assessment'!I$15,IF('Setup - IPCC Assessment'!V$15="m3/h",'Setup - IPCC Assessment'!U$15*F25*D25*8760/1000,IF('Setup - IPCC Assessment'!V$15="tonne/y",'Setup - IPCC Assessment'!U$15*D25,'Setup - IPCC Assessment'!U$15)),
IF(A25='Setup - IPCC Assessment'!I$16, IF('Setup - IPCC Assessment'!V$16="m3/h",'Setup - IPCC Assessment'!U$16*F25*D25*8760/1000,IF('Setup - IPCC Assessment'!V$16="tonne/y",'Setup - IPCC Assessment'!U$16*D25,'Setup - IPCC Assessment'!U$16)),
IF(A25='Setup - IPCC Assessment'!I$17,IF('Setup - IPCC Assessment'!V$17="m3/h",'Setup - IPCC Assessment'!U$17*F25*D25*8760/1000,IF('Setup - IPCC Assessment'!V$17="tonne/y",'Setup - IPCC Assessment'!U$17*D25,'Setup - IPCC Assessment'!U$17)),0)))</f>
        <v>0</v>
      </c>
      <c r="D25" s="130">
        <f>((3.76*10^10)/818.39)/1000000</f>
        <v>45.943865394249684</v>
      </c>
      <c r="E25" s="129" t="s">
        <v>767</v>
      </c>
      <c r="F25" s="129">
        <v>818.39</v>
      </c>
      <c r="G25" s="129" t="s">
        <v>767</v>
      </c>
      <c r="H25" s="234">
        <v>5.0000000000000001E-4</v>
      </c>
      <c r="I25" s="234"/>
      <c r="J25" s="145">
        <v>3</v>
      </c>
      <c r="K25" s="146">
        <v>71900</v>
      </c>
      <c r="L25" s="147">
        <v>0.6</v>
      </c>
      <c r="M25" s="146"/>
      <c r="N25" s="146"/>
      <c r="O25" s="146"/>
      <c r="P25" s="147">
        <f t="shared" si="16"/>
        <v>21.741594123140832</v>
      </c>
      <c r="Q25" s="148">
        <f t="shared" ca="1" si="19"/>
        <v>0</v>
      </c>
      <c r="R25" s="148">
        <f t="shared" ca="1" si="19"/>
        <v>0</v>
      </c>
      <c r="S25" s="148">
        <f t="shared" ca="1" si="19"/>
        <v>0</v>
      </c>
      <c r="T25" s="148">
        <f t="shared" ca="1" si="19"/>
        <v>0</v>
      </c>
      <c r="U25" s="148">
        <f t="shared" ca="1" si="19"/>
        <v>0</v>
      </c>
      <c r="V25" s="148">
        <f t="shared" ca="1" si="19"/>
        <v>0</v>
      </c>
      <c r="W25" s="148">
        <f t="shared" ca="1" si="19"/>
        <v>0</v>
      </c>
      <c r="X25" s="148">
        <f t="shared" ca="1" si="20"/>
        <v>0</v>
      </c>
      <c r="Y25" s="148">
        <f t="shared" ca="1" si="20"/>
        <v>0</v>
      </c>
      <c r="Z25" s="148">
        <f t="shared" ca="1" si="20"/>
        <v>0</v>
      </c>
      <c r="AA25" s="148">
        <f t="shared" ca="1" si="20"/>
        <v>0</v>
      </c>
      <c r="AB25" s="148">
        <f t="shared" ca="1" si="20"/>
        <v>0</v>
      </c>
      <c r="AC25" s="148">
        <f t="shared" ca="1" si="20"/>
        <v>0</v>
      </c>
      <c r="AD25" s="148">
        <f t="shared" ca="1" si="20"/>
        <v>0</v>
      </c>
      <c r="AE25" s="171"/>
      <c r="AF25" s="171"/>
      <c r="AG25" s="171"/>
      <c r="AH25" s="171"/>
      <c r="AI25" s="171"/>
    </row>
    <row r="26" spans="1:35" x14ac:dyDescent="0.3">
      <c r="A26" s="140" t="str">
        <f ca="1">'Translation Table'!H328</f>
        <v>Naphtha</v>
      </c>
      <c r="B26" s="140">
        <f ca="1">IF(A26='Setup - IPCC Assessment'!I$12,IF('Setup - IPCC Assessment'!V$12="m3/h",'Setup - IPCC Assessment'!U$12*F26*D26*8760/1000,IF('Setup - IPCC Assessment'!V$12="tonne/y",'Setup - IPCC Assessment'!U$12*D26,'Setup - IPCC Assessment'!U$12)),
IF(A26='Setup - IPCC Assessment'!I$13, IF('Setup - IPCC Assessment'!V$13="m3/h",'Setup - IPCC Assessment'!U$13*F26*D26*8760/1000,IF('Setup - IPCC Assessment'!V$13="tonne/y",'Setup - IPCC Assessment'!U$13*D26,'Setup - IPCC Assessment'!U$13)),
IF(A26='Setup - IPCC Assessment'!I$14,IF('Setup - IPCC Assessment'!V$14="m3/h",'Setup - IPCC Assessment'!U$14*F26*D26*8760/1000,IF('Setup - IPCC Assessment'!V$14="tonne/y",'Setup - IPCC Assessment'!U$14*D26,'Setup - IPCC Assessment'!U$14)),0)))</f>
        <v>0</v>
      </c>
      <c r="C26" s="140">
        <f ca="1">IF(A26='Setup - IPCC Assessment'!I$15,IF('Setup - IPCC Assessment'!V$15="m3/h",'Setup - IPCC Assessment'!U$15*F26*D26*8760/1000,IF('Setup - IPCC Assessment'!V$15="tonne/y",'Setup - IPCC Assessment'!U$15*D26,'Setup - IPCC Assessment'!U$15)),
IF(A26='Setup - IPCC Assessment'!I$16, IF('Setup - IPCC Assessment'!V$16="m3/h",'Setup - IPCC Assessment'!U$16*F26*D26*8760/1000,IF('Setup - IPCC Assessment'!V$16="tonne/y",'Setup - IPCC Assessment'!U$16*D26,'Setup - IPCC Assessment'!U$16)),
IF(A26='Setup - IPCC Assessment'!I$17,IF('Setup - IPCC Assessment'!V$17="m3/h",'Setup - IPCC Assessment'!U$17*F26*D26*8760/1000,IF('Setup - IPCC Assessment'!V$17="tonne/y",'Setup - IPCC Assessment'!U$17*D26,'Setup - IPCC Assessment'!U$17)),0)))</f>
        <v>0</v>
      </c>
      <c r="D26" s="130">
        <f>((3.48*10^10)/774.49)/1000000</f>
        <v>44.932794484112122</v>
      </c>
      <c r="E26" s="129" t="s">
        <v>767</v>
      </c>
      <c r="F26" s="129">
        <v>774.49</v>
      </c>
      <c r="G26" s="129" t="s">
        <v>767</v>
      </c>
      <c r="H26" s="234">
        <v>5.0000000000000001E-4</v>
      </c>
      <c r="I26" s="234"/>
      <c r="J26" s="141">
        <v>3</v>
      </c>
      <c r="K26" s="142">
        <v>73300</v>
      </c>
      <c r="L26" s="143">
        <v>0.6</v>
      </c>
      <c r="M26" s="142"/>
      <c r="N26" s="142"/>
      <c r="O26" s="142"/>
      <c r="P26" s="143">
        <f t="shared" si="16"/>
        <v>22.230820168623008</v>
      </c>
      <c r="Q26" s="144">
        <f t="shared" ca="1" si="19"/>
        <v>0</v>
      </c>
      <c r="R26" s="144">
        <f t="shared" ca="1" si="19"/>
        <v>0</v>
      </c>
      <c r="S26" s="144">
        <f t="shared" ca="1" si="19"/>
        <v>0</v>
      </c>
      <c r="T26" s="144">
        <f t="shared" ca="1" si="19"/>
        <v>0</v>
      </c>
      <c r="U26" s="144">
        <f t="shared" ca="1" si="19"/>
        <v>0</v>
      </c>
      <c r="V26" s="144">
        <f t="shared" ca="1" si="19"/>
        <v>0</v>
      </c>
      <c r="W26" s="144">
        <f t="shared" ca="1" si="19"/>
        <v>0</v>
      </c>
      <c r="X26" s="144">
        <f t="shared" ca="1" si="20"/>
        <v>0</v>
      </c>
      <c r="Y26" s="144">
        <f t="shared" ca="1" si="20"/>
        <v>0</v>
      </c>
      <c r="Z26" s="144">
        <f t="shared" ca="1" si="20"/>
        <v>0</v>
      </c>
      <c r="AA26" s="144">
        <f t="shared" ca="1" si="20"/>
        <v>0</v>
      </c>
      <c r="AB26" s="144">
        <f t="shared" ca="1" si="20"/>
        <v>0</v>
      </c>
      <c r="AC26" s="144">
        <f t="shared" ca="1" si="20"/>
        <v>0</v>
      </c>
      <c r="AD26" s="144">
        <f t="shared" ca="1" si="20"/>
        <v>0</v>
      </c>
      <c r="AE26" s="171"/>
      <c r="AF26" s="171"/>
      <c r="AG26" s="171"/>
      <c r="AH26" s="171"/>
      <c r="AI26" s="171"/>
    </row>
    <row r="27" spans="1:35" x14ac:dyDescent="0.3">
      <c r="A27" s="127" t="str">
        <f ca="1">'Translation Table'!H329</f>
        <v>Liquid Petroleum Gas</v>
      </c>
      <c r="B27" s="127">
        <f ca="1">IF(A27='Setup - IPCC Assessment'!I$12,IF('Setup - IPCC Assessment'!V$12="m3/h",'Setup - IPCC Assessment'!U$12*F27*D27*8760/1000,IF('Setup - IPCC Assessment'!V$12="tonne/y",'Setup - IPCC Assessment'!U$12*D27,'Setup - IPCC Assessment'!U$12)),
IF(A27='Setup - IPCC Assessment'!I$13, IF('Setup - IPCC Assessment'!V$13="m3/h",'Setup - IPCC Assessment'!U$13*F27*D27*8760/1000,IF('Setup - IPCC Assessment'!V$13="tonne/y",'Setup - IPCC Assessment'!U$13*D27,'Setup - IPCC Assessment'!U$13)),
IF(A27='Setup - IPCC Assessment'!I$14,IF('Setup - IPCC Assessment'!V$14="m3/h",'Setup - IPCC Assessment'!U$14*F27*D27*8760/1000,IF('Setup - IPCC Assessment'!V$14="tonne/y",'Setup - IPCC Assessment'!U$14*D27,'Setup - IPCC Assessment'!U$14)),0)))</f>
        <v>0</v>
      </c>
      <c r="C27" s="127">
        <f ca="1">IF(A27='Setup - IPCC Assessment'!I$15,IF('Setup - IPCC Assessment'!V$15="m3/h",'Setup - IPCC Assessment'!U$15*F27*D27*8760/1000,IF('Setup - IPCC Assessment'!V$15="tonne/y",'Setup - IPCC Assessment'!U$15*D27,'Setup - IPCC Assessment'!U$15)),
IF(A27='Setup - IPCC Assessment'!I$16, IF('Setup - IPCC Assessment'!V$16="m3/h",'Setup - IPCC Assessment'!U$16*F27*D27*8760/1000,IF('Setup - IPCC Assessment'!V$16="tonne/y",'Setup - IPCC Assessment'!U$16*D27,'Setup - IPCC Assessment'!U$16)),
IF(A27='Setup - IPCC Assessment'!I$17,IF('Setup - IPCC Assessment'!V$17="m3/h",'Setup - IPCC Assessment'!U$17*F27*D27*8760/1000,IF('Setup - IPCC Assessment'!V$17="tonne/y",'Setup - IPCC Assessment'!U$17*D27,'Setup - IPCC Assessment'!U$17)),0)))</f>
        <v>0</v>
      </c>
      <c r="D27" s="130">
        <f>0.092*1.055056/0.003785412/F27*1000</f>
        <v>46.410676838260727</v>
      </c>
      <c r="E27" s="129" t="s">
        <v>832</v>
      </c>
      <c r="F27" s="129">
        <f>(525+580)/2</f>
        <v>552.5</v>
      </c>
      <c r="G27" s="129" t="s">
        <v>843</v>
      </c>
      <c r="H27" s="234">
        <v>5.0000000000000001E-4</v>
      </c>
      <c r="I27" s="234"/>
      <c r="J27" s="145">
        <v>1</v>
      </c>
      <c r="K27" s="146">
        <v>63100</v>
      </c>
      <c r="L27" s="147">
        <v>0.1</v>
      </c>
      <c r="M27" s="146"/>
      <c r="N27" s="146"/>
      <c r="O27" s="146"/>
      <c r="P27" s="147">
        <f t="shared" si="16"/>
        <v>21.522911146740917</v>
      </c>
      <c r="Q27" s="148">
        <f t="shared" ca="1" si="19"/>
        <v>0</v>
      </c>
      <c r="R27" s="148">
        <f t="shared" ca="1" si="19"/>
        <v>0</v>
      </c>
      <c r="S27" s="148">
        <f t="shared" ca="1" si="19"/>
        <v>0</v>
      </c>
      <c r="T27" s="148">
        <f t="shared" ca="1" si="19"/>
        <v>0</v>
      </c>
      <c r="U27" s="148">
        <f t="shared" ca="1" si="19"/>
        <v>0</v>
      </c>
      <c r="V27" s="148">
        <f t="shared" ca="1" si="19"/>
        <v>0</v>
      </c>
      <c r="W27" s="148">
        <f t="shared" ca="1" si="19"/>
        <v>0</v>
      </c>
      <c r="X27" s="148">
        <f t="shared" ca="1" si="20"/>
        <v>0</v>
      </c>
      <c r="Y27" s="148">
        <f t="shared" ca="1" si="20"/>
        <v>0</v>
      </c>
      <c r="Z27" s="148">
        <f t="shared" ca="1" si="20"/>
        <v>0</v>
      </c>
      <c r="AA27" s="148">
        <f t="shared" ca="1" si="20"/>
        <v>0</v>
      </c>
      <c r="AB27" s="148">
        <f t="shared" ca="1" si="20"/>
        <v>0</v>
      </c>
      <c r="AC27" s="148">
        <f t="shared" ca="1" si="20"/>
        <v>0</v>
      </c>
      <c r="AD27" s="148">
        <f t="shared" ca="1" si="20"/>
        <v>0</v>
      </c>
      <c r="AE27" s="171"/>
      <c r="AF27" s="171"/>
      <c r="AG27" s="171"/>
      <c r="AH27" s="171"/>
      <c r="AI27" s="171"/>
    </row>
    <row r="28" spans="1:35" x14ac:dyDescent="0.3">
      <c r="A28" s="140" t="str">
        <f ca="1">'Translation Table'!H330</f>
        <v>Liquefied Natural Gas</v>
      </c>
      <c r="B28" s="140">
        <f ca="1">IF(A28='Setup - IPCC Assessment'!I$12,IF('Setup - IPCC Assessment'!V$12="m3/h",'Setup - IPCC Assessment'!U$12*F28*D28*8760/1000,IF('Setup - IPCC Assessment'!V$12="tonne/y",'Setup - IPCC Assessment'!U$12*D28,'Setup - IPCC Assessment'!U$12)),
IF(A28='Setup - IPCC Assessment'!I$13, IF('Setup - IPCC Assessment'!V$13="m3/h",'Setup - IPCC Assessment'!U$13*F28*D28*8760/1000,IF('Setup - IPCC Assessment'!V$13="tonne/y",'Setup - IPCC Assessment'!U$13*D28,'Setup - IPCC Assessment'!U$13)),
IF(A28='Setup - IPCC Assessment'!I$14,IF('Setup - IPCC Assessment'!V$14="m3/h",'Setup - IPCC Assessment'!U$14*F28*D28*8760/1000,IF('Setup - IPCC Assessment'!V$14="tonne/y",'Setup - IPCC Assessment'!U$14*D28,'Setup - IPCC Assessment'!U$14)),0)))</f>
        <v>0</v>
      </c>
      <c r="C28" s="140">
        <f ca="1">IF(A28='Setup - IPCC Assessment'!I$15,IF('Setup - IPCC Assessment'!V$15="m3/h",'Setup - IPCC Assessment'!U$15*F28*D28*8760/1000,IF('Setup - IPCC Assessment'!V$15="tonne/y",'Setup - IPCC Assessment'!U$15*D28,'Setup - IPCC Assessment'!U$15)),
IF(A28='Setup - IPCC Assessment'!I$16, IF('Setup - IPCC Assessment'!V$16="m3/h",'Setup - IPCC Assessment'!U$16*F28*D28*8760/1000,IF('Setup - IPCC Assessment'!V$16="tonne/y",'Setup - IPCC Assessment'!U$16*D28,'Setup - IPCC Assessment'!U$16)),
IF(A28='Setup - IPCC Assessment'!I$17,IF('Setup - IPCC Assessment'!V$17="m3/h",'Setup - IPCC Assessment'!U$17*F28*D28*8760/1000,IF('Setup - IPCC Assessment'!V$17="tonne/y",'Setup - IPCC Assessment'!U$17*D28,'Setup - IPCC Assessment'!U$17)),0)))</f>
        <v>0</v>
      </c>
      <c r="D28" s="129">
        <v>41.868000000000002</v>
      </c>
      <c r="E28" s="129" t="s">
        <v>226</v>
      </c>
      <c r="F28" s="129">
        <f>(410+500)/2</f>
        <v>455</v>
      </c>
      <c r="G28" s="129" t="s">
        <v>843</v>
      </c>
      <c r="H28" s="234">
        <v>5.0000000000000001E-4</v>
      </c>
      <c r="I28" s="234"/>
      <c r="J28" s="141">
        <v>3</v>
      </c>
      <c r="K28" s="142">
        <v>64200</v>
      </c>
      <c r="L28" s="143">
        <v>0.6</v>
      </c>
      <c r="M28" s="142"/>
      <c r="N28" s="142"/>
      <c r="O28" s="142"/>
      <c r="P28" s="143">
        <f t="shared" si="16"/>
        <v>23.858146408951757</v>
      </c>
      <c r="Q28" s="144">
        <f t="shared" ca="1" si="19"/>
        <v>0</v>
      </c>
      <c r="R28" s="144">
        <f t="shared" ca="1" si="19"/>
        <v>0</v>
      </c>
      <c r="S28" s="144">
        <f t="shared" ca="1" si="19"/>
        <v>0</v>
      </c>
      <c r="T28" s="144">
        <f t="shared" ca="1" si="19"/>
        <v>0</v>
      </c>
      <c r="U28" s="144">
        <f t="shared" ca="1" si="19"/>
        <v>0</v>
      </c>
      <c r="V28" s="144">
        <f t="shared" ca="1" si="19"/>
        <v>0</v>
      </c>
      <c r="W28" s="144">
        <f t="shared" ca="1" si="19"/>
        <v>0</v>
      </c>
      <c r="X28" s="144">
        <f t="shared" ca="1" si="20"/>
        <v>0</v>
      </c>
      <c r="Y28" s="144">
        <f t="shared" ca="1" si="20"/>
        <v>0</v>
      </c>
      <c r="Z28" s="144">
        <f t="shared" ca="1" si="20"/>
        <v>0</v>
      </c>
      <c r="AA28" s="144">
        <f t="shared" ca="1" si="20"/>
        <v>0</v>
      </c>
      <c r="AB28" s="144">
        <f t="shared" ca="1" si="20"/>
        <v>0</v>
      </c>
      <c r="AC28" s="144">
        <f t="shared" ca="1" si="20"/>
        <v>0</v>
      </c>
      <c r="AD28" s="144">
        <f t="shared" ca="1" si="20"/>
        <v>0</v>
      </c>
      <c r="AE28" s="171"/>
      <c r="AF28" s="171"/>
      <c r="AG28" s="171"/>
      <c r="AH28" s="171"/>
      <c r="AI28" s="171"/>
    </row>
    <row r="29" spans="1:35" x14ac:dyDescent="0.3">
      <c r="A29" s="127" t="str">
        <f>'Translation Table'!H331</f>
        <v>Propane (liquid)</v>
      </c>
      <c r="B29" s="127">
        <f ca="1">IF(A29='Setup - IPCC Assessment'!I$12,IF('Setup - IPCC Assessment'!V$12="m3/h",'Setup - IPCC Assessment'!U$12*F29*D29*8760/1000,IF('Setup - IPCC Assessment'!V$12="tonne/y",'Setup - IPCC Assessment'!U$12*D29,'Setup - IPCC Assessment'!U$12)),
IF(A29='Setup - IPCC Assessment'!I$13, IF('Setup - IPCC Assessment'!V$13="m3/h",'Setup - IPCC Assessment'!U$13*F29*D29*8760/1000,IF('Setup - IPCC Assessment'!V$13="tonne/y",'Setup - IPCC Assessment'!U$13*D29,'Setup - IPCC Assessment'!U$13)),
IF(A29='Setup - IPCC Assessment'!I$14,IF('Setup - IPCC Assessment'!V$14="m3/h",'Setup - IPCC Assessment'!U$14*F29*D29*8760/1000,IF('Setup - IPCC Assessment'!V$14="tonne/y",'Setup - IPCC Assessment'!U$14*D29,'Setup - IPCC Assessment'!U$14)),0)))</f>
        <v>0</v>
      </c>
      <c r="C29" s="127">
        <f ca="1">IF(A29='Setup - IPCC Assessment'!I$15,IF('Setup - IPCC Assessment'!V$15="m3/h",'Setup - IPCC Assessment'!U$15*F29*D29*8760/1000,IF('Setup - IPCC Assessment'!V$15="tonne/y",'Setup - IPCC Assessment'!U$15*D29,'Setup - IPCC Assessment'!U$15)),
IF(A29='Setup - IPCC Assessment'!I$16, IF('Setup - IPCC Assessment'!V$16="m3/h",'Setup - IPCC Assessment'!U$16*F29*D29*8760/1000,IF('Setup - IPCC Assessment'!V$16="tonne/y",'Setup - IPCC Assessment'!U$16*D29,'Setup - IPCC Assessment'!U$16)),
IF(A29='Setup - IPCC Assessment'!I$17,IF('Setup - IPCC Assessment'!V$17="m3/h",'Setup - IPCC Assessment'!U$17*F29*D29*8760/1000,IF('Setup - IPCC Assessment'!V$17="tonne/y",'Setup - IPCC Assessment'!U$17*D29,'Setup - IPCC Assessment'!U$17)),0)))</f>
        <v>0</v>
      </c>
      <c r="D29" s="130">
        <f>((2.54*10^10)/505.61)/1000000</f>
        <v>50.236348173493397</v>
      </c>
      <c r="E29" s="129" t="s">
        <v>767</v>
      </c>
      <c r="F29" s="129">
        <v>505.61</v>
      </c>
      <c r="G29" s="129" t="s">
        <v>767</v>
      </c>
      <c r="H29" s="234">
        <v>5.0000000000000001E-4</v>
      </c>
      <c r="I29" s="234"/>
      <c r="J29" s="145">
        <v>1</v>
      </c>
      <c r="K29" s="146">
        <v>63100</v>
      </c>
      <c r="L29" s="147">
        <v>0.1</v>
      </c>
      <c r="M29" s="146"/>
      <c r="N29" s="146"/>
      <c r="O29" s="146"/>
      <c r="P29" s="147">
        <f t="shared" si="16"/>
        <v>19.883867163279312</v>
      </c>
      <c r="Q29" s="148">
        <f t="shared" ca="1" si="19"/>
        <v>0</v>
      </c>
      <c r="R29" s="148">
        <f t="shared" ca="1" si="19"/>
        <v>0</v>
      </c>
      <c r="S29" s="148">
        <f t="shared" ca="1" si="19"/>
        <v>0</v>
      </c>
      <c r="T29" s="148">
        <f t="shared" ca="1" si="19"/>
        <v>0</v>
      </c>
      <c r="U29" s="148">
        <f t="shared" ca="1" si="19"/>
        <v>0</v>
      </c>
      <c r="V29" s="148">
        <f t="shared" ca="1" si="19"/>
        <v>0</v>
      </c>
      <c r="W29" s="148">
        <f t="shared" ca="1" si="19"/>
        <v>0</v>
      </c>
      <c r="X29" s="148">
        <f t="shared" ca="1" si="20"/>
        <v>0</v>
      </c>
      <c r="Y29" s="148">
        <f t="shared" ca="1" si="20"/>
        <v>0</v>
      </c>
      <c r="Z29" s="148">
        <f t="shared" ca="1" si="20"/>
        <v>0</v>
      </c>
      <c r="AA29" s="148">
        <f t="shared" ca="1" si="20"/>
        <v>0</v>
      </c>
      <c r="AB29" s="148">
        <f t="shared" ca="1" si="20"/>
        <v>0</v>
      </c>
      <c r="AC29" s="148">
        <f t="shared" ca="1" si="20"/>
        <v>0</v>
      </c>
      <c r="AD29" s="148">
        <f t="shared" ca="1" si="20"/>
        <v>0</v>
      </c>
      <c r="AE29" s="171"/>
      <c r="AF29" s="171"/>
      <c r="AG29" s="171"/>
      <c r="AH29" s="171"/>
      <c r="AI29" s="171"/>
    </row>
    <row r="30" spans="1:35" x14ac:dyDescent="0.3">
      <c r="P30" s="38" t="s">
        <v>113</v>
      </c>
      <c r="Q30" s="39">
        <f t="shared" ref="Q30:AD30" ca="1" si="21">SUM(Q20:Q29)</f>
        <v>2.0340720000000001</v>
      </c>
      <c r="R30" s="39">
        <f t="shared" ca="1" si="21"/>
        <v>50241.578399999999</v>
      </c>
      <c r="S30" s="39">
        <f t="shared" ca="1" si="21"/>
        <v>0.40681439999999996</v>
      </c>
      <c r="T30" s="39">
        <f t="shared" ca="1" si="21"/>
        <v>0</v>
      </c>
      <c r="U30" s="39">
        <f t="shared" ca="1" si="21"/>
        <v>0</v>
      </c>
      <c r="V30" s="39">
        <f t="shared" ca="1" si="21"/>
        <v>0</v>
      </c>
      <c r="W30" s="39">
        <f t="shared" ca="1" si="21"/>
        <v>14.828436054900983</v>
      </c>
      <c r="X30" s="39">
        <f t="shared" ca="1" si="21"/>
        <v>1.2003115742762389E-3</v>
      </c>
      <c r="Y30" s="39">
        <f t="shared" ca="1" si="21"/>
        <v>29.647695884623101</v>
      </c>
      <c r="Z30" s="39">
        <f t="shared" ca="1" si="21"/>
        <v>2.4006231485524776E-4</v>
      </c>
      <c r="AA30" s="39">
        <f t="shared" ca="1" si="21"/>
        <v>0</v>
      </c>
      <c r="AB30" s="39">
        <f t="shared" ca="1" si="21"/>
        <v>0</v>
      </c>
      <c r="AC30" s="39">
        <f t="shared" ca="1" si="21"/>
        <v>0</v>
      </c>
      <c r="AD30" s="39">
        <f t="shared" ca="1" si="21"/>
        <v>8.7503015749259318E-3</v>
      </c>
      <c r="AE30" s="37"/>
      <c r="AF30" s="37"/>
      <c r="AG30" s="37"/>
      <c r="AH30" s="37"/>
      <c r="AI30" s="37"/>
    </row>
    <row r="31" spans="1:35" ht="22.5" x14ac:dyDescent="0.45">
      <c r="A31" s="32" t="str">
        <f ca="1">'Translation Table'!H306</f>
        <v>Natural Fuel Properties (IPCC)</v>
      </c>
    </row>
    <row r="32" spans="1:35" s="35" customFormat="1" ht="15.5" x14ac:dyDescent="0.35">
      <c r="G32" s="128"/>
      <c r="H32" s="128"/>
      <c r="I32" s="128"/>
      <c r="J32" s="128"/>
      <c r="K32" s="128"/>
      <c r="L32" s="128"/>
      <c r="M32" s="128"/>
      <c r="N32" s="128"/>
      <c r="O32" s="128"/>
      <c r="P32" s="128"/>
      <c r="Q32" s="128"/>
      <c r="R32" s="128"/>
      <c r="S32" s="128"/>
      <c r="T32" s="128"/>
      <c r="U32" s="128"/>
      <c r="V32" s="128"/>
      <c r="W32" s="128"/>
      <c r="X32" s="173"/>
      <c r="Y32" s="173"/>
      <c r="Z32" s="173"/>
      <c r="AA32" s="173"/>
      <c r="AB32" s="173"/>
      <c r="AC32" s="173"/>
      <c r="AD32" s="173"/>
      <c r="AE32" s="173"/>
    </row>
    <row r="33" spans="1:35" s="35" customFormat="1" ht="32.25" customHeight="1" x14ac:dyDescent="0.35">
      <c r="A33" s="348" t="str">
        <f ca="1">'Translation Table'!H279</f>
        <v>Fuel Type</v>
      </c>
      <c r="B33" s="333" t="str">
        <f ca="1">'Translation Table'!H280</f>
        <v xml:space="preserve">Combusted </v>
      </c>
      <c r="C33" s="420"/>
      <c r="D33" s="333" t="str">
        <f ca="1">'Translation Table'!H284</f>
        <v>Higher Heating Value</v>
      </c>
      <c r="E33" s="345"/>
      <c r="F33" s="401" t="str">
        <f ca="1">'Translation Table'!H295</f>
        <v>Density</v>
      </c>
      <c r="G33" s="419"/>
      <c r="H33" s="401" t="str">
        <f ca="1">'Translation Table'!H296</f>
        <v>H2S Content</v>
      </c>
      <c r="I33" s="402"/>
      <c r="J33" s="401" t="str">
        <f ca="1">'Translation Table'!H301</f>
        <v>Emission Factors (kg/TJ)</v>
      </c>
      <c r="K33" s="408"/>
      <c r="L33" s="408"/>
      <c r="M33" s="408"/>
      <c r="N33" s="408"/>
      <c r="O33" s="408"/>
      <c r="P33" s="409"/>
      <c r="Q33" s="425" t="str">
        <f ca="1">'Translation Table'!H302</f>
        <v>Emissions Petroleum Refining</v>
      </c>
      <c r="R33" s="426"/>
      <c r="S33" s="426"/>
      <c r="T33" s="408"/>
      <c r="U33" s="408"/>
      <c r="V33" s="408"/>
      <c r="W33" s="409"/>
      <c r="X33" s="403" t="str">
        <f ca="1">'Translation Table'!H303</f>
        <v>Emissions Other Energy Industries</v>
      </c>
      <c r="Y33" s="427"/>
      <c r="Z33" s="427"/>
      <c r="AA33" s="424"/>
      <c r="AB33" s="424"/>
      <c r="AC33" s="424"/>
      <c r="AD33" s="424"/>
      <c r="AE33" s="172"/>
      <c r="AF33" s="172"/>
      <c r="AG33" s="174"/>
      <c r="AH33" s="172"/>
      <c r="AI33" s="172"/>
    </row>
    <row r="34" spans="1:35" s="35" customFormat="1" ht="15.5" x14ac:dyDescent="0.35">
      <c r="A34" s="415"/>
      <c r="B34" s="333" t="str">
        <f ca="1">'Translation Table'!H281</f>
        <v>Amount (GJ/y)</v>
      </c>
      <c r="C34" s="420"/>
      <c r="D34" s="33" t="str">
        <f ca="1">'Translation Table'!H285</f>
        <v>Value</v>
      </c>
      <c r="E34" s="348" t="str">
        <f ca="1">'Translation Table'!H286</f>
        <v>Reference</v>
      </c>
      <c r="F34" s="33" t="str">
        <f ca="1">'Translation Table'!H298</f>
        <v>Value</v>
      </c>
      <c r="G34" s="348" t="str">
        <f ca="1">'Translation Table'!H286</f>
        <v>Reference</v>
      </c>
      <c r="H34" s="348" t="str">
        <f ca="1">'Translation Table'!H297</f>
        <v>(Mol %)</v>
      </c>
      <c r="I34" s="348" t="str">
        <f ca="1">'Translation Table'!H286</f>
        <v>Reference</v>
      </c>
      <c r="J34" s="405" t="str">
        <f ca="1">'Translation Table'!H287</f>
        <v>CH4</v>
      </c>
      <c r="K34" s="405" t="str">
        <f ca="1">'Translation Table'!H288</f>
        <v>CO2</v>
      </c>
      <c r="L34" s="405" t="str">
        <f ca="1">'Translation Table'!H289</f>
        <v>N2O</v>
      </c>
      <c r="M34" s="398" t="str">
        <f ca="1">'Translation Table'!H290</f>
        <v>NOx</v>
      </c>
      <c r="N34" s="398" t="str">
        <f ca="1">'Translation Table'!H291</f>
        <v>CO</v>
      </c>
      <c r="O34" s="398" t="str">
        <f ca="1">'Translation Table'!H292</f>
        <v>NMVOC</v>
      </c>
      <c r="P34" s="405" t="str">
        <f ca="1">'Translation Table'!H293</f>
        <v>SO2</v>
      </c>
      <c r="Q34" s="122" t="str">
        <f ca="1">'Translation Table'!H287</f>
        <v>CH4</v>
      </c>
      <c r="R34" s="122" t="str">
        <f ca="1">'Translation Table'!H288</f>
        <v>CO2</v>
      </c>
      <c r="S34" s="122" t="str">
        <f ca="1">'Translation Table'!H289</f>
        <v>N2O</v>
      </c>
      <c r="T34" s="122" t="str">
        <f ca="1">'Translation Table'!H290</f>
        <v>NOx</v>
      </c>
      <c r="U34" s="122" t="str">
        <f ca="1">'Translation Table'!H291</f>
        <v>CO</v>
      </c>
      <c r="V34" s="122" t="str">
        <f ca="1">'Translation Table'!H292</f>
        <v>NMVOC</v>
      </c>
      <c r="W34" s="122" t="str">
        <f ca="1">'Translation Table'!H293</f>
        <v>SO2</v>
      </c>
      <c r="X34" s="122" t="str">
        <f ca="1">'Translation Table'!H287</f>
        <v>CH4</v>
      </c>
      <c r="Y34" s="122" t="str">
        <f ca="1">'Translation Table'!H288</f>
        <v>CO2</v>
      </c>
      <c r="Z34" s="122" t="str">
        <f ca="1">'Translation Table'!H289</f>
        <v>N2O</v>
      </c>
      <c r="AA34" s="122" t="str">
        <f ca="1">'Translation Table'!H290</f>
        <v>NOx</v>
      </c>
      <c r="AB34" s="122" t="str">
        <f ca="1">'Translation Table'!H291</f>
        <v>CO</v>
      </c>
      <c r="AC34" s="122" t="str">
        <f ca="1">'Translation Table'!H292</f>
        <v>NMVOC</v>
      </c>
      <c r="AD34" s="122" t="str">
        <f ca="1">'Translation Table'!H293</f>
        <v>SO2</v>
      </c>
      <c r="AE34" s="175"/>
      <c r="AF34" s="175"/>
      <c r="AG34" s="175"/>
      <c r="AH34" s="175"/>
      <c r="AI34" s="175"/>
    </row>
    <row r="35" spans="1:35" s="35" customFormat="1" ht="15.5" x14ac:dyDescent="0.35">
      <c r="A35" s="416"/>
      <c r="B35" s="149" t="str">
        <f ca="1">'Translation Table'!H282</f>
        <v>Petroleum Refining</v>
      </c>
      <c r="C35" s="149" t="str">
        <f ca="1">'Translation Table'!H283</f>
        <v>Other Energy Industries</v>
      </c>
      <c r="D35" s="33" t="str">
        <f ca="1">'Translation Table'!H337</f>
        <v>(MJ/m3)</v>
      </c>
      <c r="E35" s="416"/>
      <c r="F35" s="33" t="str">
        <f ca="1">'Translation Table'!H334</f>
        <v>(kg/m3)</v>
      </c>
      <c r="G35" s="416"/>
      <c r="H35" s="418"/>
      <c r="I35" s="418"/>
      <c r="J35" s="406"/>
      <c r="K35" s="406"/>
      <c r="L35" s="406"/>
      <c r="M35" s="399"/>
      <c r="N35" s="399"/>
      <c r="O35" s="399"/>
      <c r="P35" s="406"/>
      <c r="Q35" s="122" t="str">
        <f ca="1">'Translation Table'!H294</f>
        <v>(tonnes/y)</v>
      </c>
      <c r="R35" s="122" t="str">
        <f ca="1">'Translation Table'!H294</f>
        <v>(tonnes/y)</v>
      </c>
      <c r="S35" s="122" t="str">
        <f ca="1">'Translation Table'!H294</f>
        <v>(tonnes/y)</v>
      </c>
      <c r="T35" s="122" t="str">
        <f ca="1">'Translation Table'!H294</f>
        <v>(tonnes/y)</v>
      </c>
      <c r="U35" s="122" t="str">
        <f ca="1">'Translation Table'!H294</f>
        <v>(tonnes/y)</v>
      </c>
      <c r="V35" s="122" t="str">
        <f ca="1">'Translation Table'!H294</f>
        <v>(tonnes/y)</v>
      </c>
      <c r="W35" s="122" t="str">
        <f ca="1">'Translation Table'!H294</f>
        <v>(tonnes/y)</v>
      </c>
      <c r="X35" s="122" t="str">
        <f ca="1">'Translation Table'!H294</f>
        <v>(tonnes/y)</v>
      </c>
      <c r="Y35" s="122" t="str">
        <f ca="1">'Translation Table'!H294</f>
        <v>(tonnes/y)</v>
      </c>
      <c r="Z35" s="122" t="str">
        <f ca="1">'Translation Table'!H294</f>
        <v>(tonnes/y)</v>
      </c>
      <c r="AA35" s="122" t="str">
        <f ca="1">'Translation Table'!H294</f>
        <v>(tonnes/y)</v>
      </c>
      <c r="AB35" s="122" t="str">
        <f ca="1">'Translation Table'!H294</f>
        <v>(tonnes/y)</v>
      </c>
      <c r="AC35" s="122" t="str">
        <f ca="1">'Translation Table'!H294</f>
        <v>(tonnes/y)</v>
      </c>
      <c r="AD35" s="122" t="str">
        <f ca="1">'Translation Table'!H294</f>
        <v>(tonnes/y)</v>
      </c>
      <c r="AE35" s="175"/>
      <c r="AF35" s="175"/>
      <c r="AG35" s="175"/>
      <c r="AH35" s="175"/>
      <c r="AI35" s="175"/>
    </row>
    <row r="36" spans="1:35" x14ac:dyDescent="0.3">
      <c r="A36" s="140" t="str">
        <f ca="1">'Translation Table'!H332</f>
        <v>Natural Gas</v>
      </c>
      <c r="B36" s="140">
        <f ca="1">'Setup - IPCC Assessment'!X12*D36*365/1000</f>
        <v>0</v>
      </c>
      <c r="C36" s="140">
        <f ca="1">'Setup - IPCC Assessment'!X15*D36*365/1000</f>
        <v>0</v>
      </c>
      <c r="D36" s="131">
        <f>0.001026*1055.056/0.02831685*(Constants!B$32/101.325)*(288.15/(273.15+Constants!B$31))</f>
        <v>38.227679138039719</v>
      </c>
      <c r="E36" s="129" t="s">
        <v>832</v>
      </c>
      <c r="F36" s="129" t="s">
        <v>844</v>
      </c>
      <c r="G36" s="129" t="s">
        <v>31</v>
      </c>
      <c r="H36" s="244">
        <v>3.9999999999999998E-6</v>
      </c>
      <c r="I36" s="129"/>
      <c r="J36" s="141">
        <v>1</v>
      </c>
      <c r="K36" s="141">
        <v>56100</v>
      </c>
      <c r="L36" s="144">
        <v>0.1</v>
      </c>
      <c r="M36" s="141"/>
      <c r="N36" s="141"/>
      <c r="O36" s="141"/>
      <c r="P36" s="143">
        <f>1/D36*H36/Vstp*M_SO2*1000*1000</f>
        <v>0.283482441591206</v>
      </c>
      <c r="Q36" s="144">
        <f t="shared" ref="Q36:W36" ca="1" si="22">IFERROR($B36*J36/1000/1000,0)</f>
        <v>0</v>
      </c>
      <c r="R36" s="144">
        <f t="shared" ca="1" si="22"/>
        <v>0</v>
      </c>
      <c r="S36" s="144">
        <f t="shared" ca="1" si="22"/>
        <v>0</v>
      </c>
      <c r="T36" s="144">
        <f t="shared" ca="1" si="22"/>
        <v>0</v>
      </c>
      <c r="U36" s="144">
        <f t="shared" ca="1" si="22"/>
        <v>0</v>
      </c>
      <c r="V36" s="144">
        <f t="shared" ca="1" si="22"/>
        <v>0</v>
      </c>
      <c r="W36" s="144">
        <f t="shared" ca="1" si="22"/>
        <v>0</v>
      </c>
      <c r="X36" s="144">
        <f t="shared" ref="X36:AD36" ca="1" si="23">IFERROR($C36*J36/1000/1000,0)</f>
        <v>0</v>
      </c>
      <c r="Y36" s="144">
        <f t="shared" ca="1" si="23"/>
        <v>0</v>
      </c>
      <c r="Z36" s="144">
        <f t="shared" ca="1" si="23"/>
        <v>0</v>
      </c>
      <c r="AA36" s="144">
        <f t="shared" ca="1" si="23"/>
        <v>0</v>
      </c>
      <c r="AB36" s="144">
        <f t="shared" ca="1" si="23"/>
        <v>0</v>
      </c>
      <c r="AC36" s="144">
        <f t="shared" ca="1" si="23"/>
        <v>0</v>
      </c>
      <c r="AD36" s="144">
        <f t="shared" ca="1" si="23"/>
        <v>0</v>
      </c>
      <c r="AE36" s="171"/>
      <c r="AF36" s="171"/>
      <c r="AG36" s="171"/>
      <c r="AH36" s="171"/>
      <c r="AI36" s="171"/>
    </row>
    <row r="38" spans="1:35" x14ac:dyDescent="0.3">
      <c r="P38" s="400"/>
      <c r="Q38" s="400"/>
      <c r="R38" s="400"/>
      <c r="S38" s="400"/>
      <c r="T38" s="400"/>
      <c r="U38" s="400"/>
      <c r="V38" s="400"/>
      <c r="W38" s="400"/>
      <c r="X38" s="400"/>
      <c r="Y38" s="400"/>
      <c r="Z38" s="400"/>
      <c r="AA38" s="400"/>
    </row>
    <row r="40" spans="1:35" s="35" customFormat="1" ht="18.75" customHeight="1" x14ac:dyDescent="0.35">
      <c r="A40" s="389" t="str">
        <f ca="1">'Translation Table'!H307</f>
        <v>Category</v>
      </c>
      <c r="B40" s="391" t="str">
        <f ca="1">'Translation Table'!H308</f>
        <v>Subcategory</v>
      </c>
      <c r="C40" s="391"/>
      <c r="D40" s="392" t="str">
        <f ca="1">'Translation Table'!H309</f>
        <v>Type of Activity Parameter</v>
      </c>
      <c r="E40" s="393"/>
      <c r="F40" s="398" t="str">
        <f ca="1">'Translation Table'!H310</f>
        <v>Activity</v>
      </c>
      <c r="G40" s="410" t="str">
        <f ca="1">'Translation Table'!H311</f>
        <v>Units of measure</v>
      </c>
      <c r="H40" s="401" t="str">
        <f ca="1">'Translation Table'!H312</f>
        <v>Emission Factors</v>
      </c>
      <c r="I40" s="408"/>
      <c r="J40" s="408"/>
      <c r="K40" s="408"/>
      <c r="L40" s="408"/>
      <c r="M40" s="408"/>
      <c r="N40" s="408"/>
      <c r="O40" s="409"/>
      <c r="P40" s="403" t="str">
        <f ca="1">'Translation Table'!H313</f>
        <v>Emissions</v>
      </c>
      <c r="Q40" s="404"/>
      <c r="R40" s="404"/>
      <c r="S40" s="404"/>
      <c r="T40" s="404"/>
      <c r="U40" s="404"/>
      <c r="V40" s="404"/>
    </row>
    <row r="41" spans="1:35" s="35" customFormat="1" ht="16.5" customHeight="1" x14ac:dyDescent="0.35">
      <c r="A41" s="389"/>
      <c r="B41" s="391"/>
      <c r="C41" s="391"/>
      <c r="D41" s="394"/>
      <c r="E41" s="395"/>
      <c r="F41" s="405"/>
      <c r="G41" s="411"/>
      <c r="H41" s="405" t="str">
        <f ca="1">'Translation Table'!H287</f>
        <v>CH4</v>
      </c>
      <c r="I41" s="405" t="str">
        <f ca="1">'Translation Table'!H288</f>
        <v>CO2</v>
      </c>
      <c r="J41" s="405" t="str">
        <f ca="1">'Translation Table'!H289</f>
        <v>N2O</v>
      </c>
      <c r="K41" s="398" t="str">
        <f ca="1">'Translation Table'!H290</f>
        <v>NOx</v>
      </c>
      <c r="L41" s="398" t="str">
        <f ca="1">'Translation Table'!H291</f>
        <v>CO</v>
      </c>
      <c r="M41" s="398" t="str">
        <f ca="1">'Translation Table'!H292</f>
        <v>NMVOC</v>
      </c>
      <c r="N41" s="405" t="str">
        <f ca="1">'Translation Table'!H293</f>
        <v>SO2</v>
      </c>
      <c r="O41" s="413" t="str">
        <f ca="1">'Translation Table'!H311</f>
        <v>Units of measure</v>
      </c>
      <c r="P41" s="122" t="str">
        <f ca="1">'Translation Table'!H287</f>
        <v>CH4</v>
      </c>
      <c r="Q41" s="122" t="str">
        <f ca="1">'Translation Table'!H288</f>
        <v>CO2</v>
      </c>
      <c r="R41" s="122" t="str">
        <f ca="1">'Translation Table'!H289</f>
        <v>N2O</v>
      </c>
      <c r="S41" s="122" t="str">
        <f ca="1">'Translation Table'!H290</f>
        <v>NOx</v>
      </c>
      <c r="T41" s="122" t="str">
        <f ca="1">'Translation Table'!H291</f>
        <v>CO</v>
      </c>
      <c r="U41" s="122" t="str">
        <f ca="1">'Translation Table'!H292</f>
        <v>NMVOC</v>
      </c>
      <c r="V41" s="122" t="str">
        <f ca="1">'Translation Table'!H293</f>
        <v>SO2</v>
      </c>
    </row>
    <row r="42" spans="1:35" s="35" customFormat="1" ht="15.5" x14ac:dyDescent="0.35">
      <c r="A42" s="390"/>
      <c r="B42" s="391"/>
      <c r="C42" s="391"/>
      <c r="D42" s="396"/>
      <c r="E42" s="397"/>
      <c r="F42" s="407"/>
      <c r="G42" s="412"/>
      <c r="H42" s="406"/>
      <c r="I42" s="406"/>
      <c r="J42" s="406"/>
      <c r="K42" s="399"/>
      <c r="L42" s="399"/>
      <c r="M42" s="399"/>
      <c r="N42" s="406"/>
      <c r="O42" s="413"/>
      <c r="P42" s="122" t="str">
        <f ca="1">'Translation Table'!H294</f>
        <v>(tonnes/y)</v>
      </c>
      <c r="Q42" s="122" t="str">
        <f ca="1">'Translation Table'!H294</f>
        <v>(tonnes/y)</v>
      </c>
      <c r="R42" s="122" t="str">
        <f ca="1">'Translation Table'!H294</f>
        <v>(tonnes/y)</v>
      </c>
      <c r="S42" s="122" t="str">
        <f ca="1">'Translation Table'!H294</f>
        <v>(tonnes/y)</v>
      </c>
      <c r="T42" s="122" t="str">
        <f ca="1">'Translation Table'!H294</f>
        <v>(tonnes/y)</v>
      </c>
      <c r="U42" s="122" t="str">
        <f ca="1">'Translation Table'!H294</f>
        <v>(tonnes/y)</v>
      </c>
      <c r="V42" s="122" t="str">
        <f ca="1">'Translation Table'!H294</f>
        <v>(tonnes/y)</v>
      </c>
    </row>
    <row r="43" spans="1:35" ht="32.15" customHeight="1" x14ac:dyDescent="0.3">
      <c r="A43" s="380" t="str">
        <f ca="1">'Translation Table'!H115</f>
        <v>Oil Exploration</v>
      </c>
      <c r="B43" s="383" t="str">
        <f ca="1">'Translation Table'!H130</f>
        <v>Onshore unconventional without flaring or recovery</v>
      </c>
      <c r="C43" s="384"/>
      <c r="D43" s="372" t="str">
        <f ca="1">'Translation Table'!H185</f>
        <v>Unconventional onshore oil wells drilled in a year, without flaring or recovery</v>
      </c>
      <c r="E43" s="373"/>
      <c r="F43" s="127">
        <f>'Setup - IPCC Assessment'!Q23</f>
        <v>0</v>
      </c>
      <c r="G43" s="248" t="str">
        <f ca="1">'Setup - IPCC Assessment'!H23</f>
        <v>Well Count</v>
      </c>
      <c r="H43" s="249">
        <f ca="1">OFFSET('Setup - IPCC Assessment'!$L$23,(ROW('Setup - IPCC Assessment'!L1)-1)*7,0)</f>
        <v>6.63</v>
      </c>
      <c r="I43" s="249">
        <f ca="1">OFFSET('Setup - IPCC Assessment'!$L$24,(ROW('Setup - IPCC Assessment'!L1)-1)*7,0)</f>
        <v>14.35</v>
      </c>
      <c r="J43" s="249" t="str">
        <f ca="1">OFFSET('Setup - IPCC Assessment'!$L$25,(ROW('Setup - IPCC Assessment'!L1)-1)*7,0)</f>
        <v>NA</v>
      </c>
      <c r="K43" s="249" t="str">
        <f ca="1">OFFSET('Setup - IPCC Assessment'!$L$26,(ROW('Setup - IPCC Assessment'!L1)-1)*7,0)</f>
        <v>NA</v>
      </c>
      <c r="L43" s="249" t="str">
        <f ca="1">OFFSET('Setup - IPCC Assessment'!$L$27,(ROW('Setup - IPCC Assessment'!L1)-1)*7,0)</f>
        <v>NA</v>
      </c>
      <c r="M43" s="249">
        <f ca="1">OFFSET('Setup - IPCC Assessment'!$L$28,(ROW('Setup - IPCC Assessment'!L1)-1)*7,0)</f>
        <v>0.99</v>
      </c>
      <c r="N43" s="249" t="str">
        <f ca="1">OFFSET('Setup - IPCC Assessment'!$L$29,(ROW('Setup - IPCC Assessment'!L1)-1)*7,0)</f>
        <v>NA</v>
      </c>
      <c r="O43" s="127" t="str">
        <f ca="1">OFFSET('Setup - IPCC Assessment'!$M$23,(ROW('Setup - IPCC Assessment'!M1)-1)*7,0)</f>
        <v>tonnes/y/well</v>
      </c>
      <c r="P43" s="127">
        <f t="shared" ref="P43:V43" ca="1" si="24">IF(OR(H43="NA",H43="ND"),0,$F43*H43)</f>
        <v>0</v>
      </c>
      <c r="Q43" s="127">
        <f t="shared" ca="1" si="24"/>
        <v>0</v>
      </c>
      <c r="R43" s="127">
        <f t="shared" ca="1" si="24"/>
        <v>0</v>
      </c>
      <c r="S43" s="127">
        <f t="shared" ca="1" si="24"/>
        <v>0</v>
      </c>
      <c r="T43" s="127">
        <f t="shared" ca="1" si="24"/>
        <v>0</v>
      </c>
      <c r="U43" s="127">
        <f t="shared" ca="1" si="24"/>
        <v>0</v>
      </c>
      <c r="V43" s="127">
        <f t="shared" ca="1" si="24"/>
        <v>0</v>
      </c>
    </row>
    <row r="44" spans="1:35" ht="32.15" customHeight="1" x14ac:dyDescent="0.3">
      <c r="A44" s="382"/>
      <c r="B44" s="385"/>
      <c r="C44" s="386"/>
      <c r="D44" s="378" t="str">
        <f ca="1">'Translation Table'!H186</f>
        <v>Total unconventional onshore oil well population where exploration occurs without flaring or recovery</v>
      </c>
      <c r="E44" s="379"/>
      <c r="F44" s="140">
        <f>'Setup - IPCC Assessment'!Q30</f>
        <v>0</v>
      </c>
      <c r="G44" s="152" t="str">
        <f ca="1">'Setup - IPCC Assessment'!H30</f>
        <v>Well Count</v>
      </c>
      <c r="H44" s="150">
        <f ca="1">OFFSET('Setup - IPCC Assessment'!$L$23,(ROW('Setup - IPCC Assessment'!L2)-1)*7,0)</f>
        <v>0.46</v>
      </c>
      <c r="I44" s="150">
        <f ca="1">OFFSET('Setup - IPCC Assessment'!$L$24,(ROW('Setup - IPCC Assessment'!L2)-1)*7,0)</f>
        <v>0.97</v>
      </c>
      <c r="J44" s="150" t="str">
        <f ca="1">OFFSET('Setup - IPCC Assessment'!$L$25,(ROW('Setup - IPCC Assessment'!L2)-1)*7,0)</f>
        <v>NA</v>
      </c>
      <c r="K44" s="150" t="str">
        <f ca="1">OFFSET('Setup - IPCC Assessment'!$L$26,(ROW('Setup - IPCC Assessment'!L2)-1)*7,0)</f>
        <v>NA</v>
      </c>
      <c r="L44" s="150" t="str">
        <f ca="1">OFFSET('Setup - IPCC Assessment'!$L$27,(ROW('Setup - IPCC Assessment'!L2)-1)*7,0)</f>
        <v>NA</v>
      </c>
      <c r="M44" s="150">
        <f ca="1">OFFSET('Setup - IPCC Assessment'!$L$28,(ROW('Setup - IPCC Assessment'!L2)-1)*7,0)</f>
        <v>7.0000000000000007E-2</v>
      </c>
      <c r="N44" s="150" t="str">
        <f ca="1">OFFSET('Setup - IPCC Assessment'!$L$29,(ROW('Setup - IPCC Assessment'!L2)-1)*7,0)</f>
        <v>NA</v>
      </c>
      <c r="O44" s="140" t="str">
        <f ca="1">OFFSET('Setup - IPCC Assessment'!$M$23,(ROW('Setup - IPCC Assessment'!M2)-1)*7,0)</f>
        <v>tonnes/y/well</v>
      </c>
      <c r="P44" s="140">
        <f t="shared" ref="P44:Q118" ca="1" si="25">IF(OR(H44="NA",H44="ND"),0,$F44*H44)</f>
        <v>0</v>
      </c>
      <c r="Q44" s="140">
        <f t="shared" ca="1" si="25"/>
        <v>0</v>
      </c>
      <c r="R44" s="140">
        <f t="shared" ref="R44:U118" ca="1" si="26">IF(OR(J44="NA",J44="ND"),0,$F44*J44)</f>
        <v>0</v>
      </c>
      <c r="S44" s="140">
        <f t="shared" ca="1" si="26"/>
        <v>0</v>
      </c>
      <c r="T44" s="140">
        <f t="shared" ca="1" si="26"/>
        <v>0</v>
      </c>
      <c r="U44" s="140">
        <f t="shared" ca="1" si="26"/>
        <v>0</v>
      </c>
      <c r="V44" s="140">
        <f t="shared" ref="V44:V118" ca="1" si="27">IF(OR(N44="NA",N44="ND"),0,$F44*N44)</f>
        <v>0</v>
      </c>
    </row>
    <row r="45" spans="1:35" ht="32.15" customHeight="1" x14ac:dyDescent="0.3">
      <c r="A45" s="382"/>
      <c r="B45" s="387"/>
      <c r="C45" s="388"/>
      <c r="D45" s="372" t="str">
        <f ca="1">'Translation Table'!H187</f>
        <v>Onshore unconventional onshore oil production where exploration occurs without flaring or recovery</v>
      </c>
      <c r="E45" s="373"/>
      <c r="F45" s="127">
        <f ca="1">'Setup - IPCC Assessment'!Q37</f>
        <v>0</v>
      </c>
      <c r="G45" s="250" t="s">
        <v>1153</v>
      </c>
      <c r="H45" s="249">
        <f ca="1">OFFSET('Setup - IPCC Assessment'!$L$23,(ROW('Setup - IPCC Assessment'!L3)-1)*7,0)</f>
        <v>1.64</v>
      </c>
      <c r="I45" s="249">
        <f ca="1">OFFSET('Setup - IPCC Assessment'!$L$24,(ROW('Setup - IPCC Assessment'!L3)-1)*7,0)</f>
        <v>3.49</v>
      </c>
      <c r="J45" s="249" t="str">
        <f ca="1">OFFSET('Setup - IPCC Assessment'!$L$25,(ROW('Setup - IPCC Assessment'!L3)-1)*7,0)</f>
        <v>NA</v>
      </c>
      <c r="K45" s="249" t="str">
        <f ca="1">OFFSET('Setup - IPCC Assessment'!$L$26,(ROW('Setup - IPCC Assessment'!L3)-1)*7,0)</f>
        <v>NA</v>
      </c>
      <c r="L45" s="249" t="str">
        <f ca="1">OFFSET('Setup - IPCC Assessment'!$L$27,(ROW('Setup - IPCC Assessment'!L3)-1)*7,0)</f>
        <v>NA</v>
      </c>
      <c r="M45" s="249">
        <f ca="1">OFFSET('Setup - IPCC Assessment'!$L$28,(ROW('Setup - IPCC Assessment'!L3)-1)*7,0)</f>
        <v>0.25</v>
      </c>
      <c r="N45" s="249" t="str">
        <f ca="1">OFFSET('Setup - IPCC Assessment'!$L$29,(ROW('Setup - IPCC Assessment'!L3)-1)*7,0)</f>
        <v>NA</v>
      </c>
      <c r="O45" s="251" t="s">
        <v>1180</v>
      </c>
      <c r="P45" s="127">
        <f t="shared" ca="1" si="25"/>
        <v>0</v>
      </c>
      <c r="Q45" s="127">
        <f t="shared" ca="1" si="25"/>
        <v>0</v>
      </c>
      <c r="R45" s="127">
        <f t="shared" ca="1" si="26"/>
        <v>0</v>
      </c>
      <c r="S45" s="127">
        <f t="shared" ca="1" si="26"/>
        <v>0</v>
      </c>
      <c r="T45" s="127">
        <f t="shared" ca="1" si="26"/>
        <v>0</v>
      </c>
      <c r="U45" s="127">
        <f t="shared" ca="1" si="26"/>
        <v>0</v>
      </c>
      <c r="V45" s="127">
        <f t="shared" ca="1" si="27"/>
        <v>0</v>
      </c>
    </row>
    <row r="46" spans="1:35" ht="32.15" customHeight="1" x14ac:dyDescent="0.3">
      <c r="A46" s="382"/>
      <c r="B46" s="383" t="str">
        <f ca="1">'Translation Table'!H131</f>
        <v>Onshore unconventional with flaring or recovery</v>
      </c>
      <c r="C46" s="384"/>
      <c r="D46" s="378" t="str">
        <f ca="1">'Translation Table'!H188</f>
        <v>Unconventional onshore oil wells drilled in a year, with flaring or recovery</v>
      </c>
      <c r="E46" s="379"/>
      <c r="F46" s="140">
        <f>'Setup - IPCC Assessment'!Q44</f>
        <v>0</v>
      </c>
      <c r="G46" s="152" t="str">
        <f ca="1">'Setup - IPCC Assessment'!H44</f>
        <v>Well Count</v>
      </c>
      <c r="H46" s="150">
        <f ca="1">OFFSET('Setup - IPCC Assessment'!$L$23,(ROW('Setup - IPCC Assessment'!L4)-1)*7,0)</f>
        <v>0.81</v>
      </c>
      <c r="I46" s="150">
        <f ca="1">OFFSET('Setup - IPCC Assessment'!$L$24,(ROW('Setup - IPCC Assessment'!L4)-1)*7,0)</f>
        <v>11.25</v>
      </c>
      <c r="J46" s="150">
        <f ca="1">OFFSET('Setup - IPCC Assessment'!$L$25,(ROW('Setup - IPCC Assessment'!L4)-1)*7,0)</f>
        <v>8.2000000000000001E-5</v>
      </c>
      <c r="K46" s="150" t="str">
        <f ca="1">OFFSET('Setup - IPCC Assessment'!$L$26,(ROW('Setup - IPCC Assessment'!L4)-1)*7,0)</f>
        <v>NA</v>
      </c>
      <c r="L46" s="150" t="str">
        <f ca="1">OFFSET('Setup - IPCC Assessment'!$L$27,(ROW('Setup - IPCC Assessment'!L4)-1)*7,0)</f>
        <v>NA</v>
      </c>
      <c r="M46" s="150">
        <f ca="1">OFFSET('Setup - IPCC Assessment'!$L$28,(ROW('Setup - IPCC Assessment'!L4)-1)*7,0)</f>
        <v>0.12</v>
      </c>
      <c r="N46" s="150" t="str">
        <f ca="1">OFFSET('Setup - IPCC Assessment'!$L$29,(ROW('Setup - IPCC Assessment'!L4)-1)*7,0)</f>
        <v>NA</v>
      </c>
      <c r="O46" s="140" t="str">
        <f ca="1">OFFSET('Setup - IPCC Assessment'!$M$23,(ROW('Setup - IPCC Assessment'!M4)-1)*7,0)</f>
        <v>tonnes/y/well</v>
      </c>
      <c r="P46" s="140">
        <f t="shared" ca="1" si="25"/>
        <v>0</v>
      </c>
      <c r="Q46" s="140">
        <f t="shared" ca="1" si="25"/>
        <v>0</v>
      </c>
      <c r="R46" s="140">
        <f t="shared" ca="1" si="26"/>
        <v>0</v>
      </c>
      <c r="S46" s="140">
        <f t="shared" ca="1" si="26"/>
        <v>0</v>
      </c>
      <c r="T46" s="140">
        <f t="shared" ca="1" si="26"/>
        <v>0</v>
      </c>
      <c r="U46" s="140">
        <f t="shared" ca="1" si="26"/>
        <v>0</v>
      </c>
      <c r="V46" s="140">
        <f t="shared" ca="1" si="27"/>
        <v>0</v>
      </c>
    </row>
    <row r="47" spans="1:35" ht="32.15" customHeight="1" x14ac:dyDescent="0.3">
      <c r="A47" s="382"/>
      <c r="B47" s="385"/>
      <c r="C47" s="386"/>
      <c r="D47" s="372" t="str">
        <f ca="1">'Translation Table'!H189</f>
        <v>Total unconventional onshore oil well population where exploration occurs with flaring or recovery</v>
      </c>
      <c r="E47" s="373"/>
      <c r="F47" s="127">
        <f>'Setup - IPCC Assessment'!Q51</f>
        <v>0</v>
      </c>
      <c r="G47" s="255" t="str">
        <f ca="1">'Setup - IPCC Assessment'!H51</f>
        <v>Well Count</v>
      </c>
      <c r="H47" s="249">
        <f ca="1">OFFSET('Setup - IPCC Assessment'!$L$23,(ROW('Setup - IPCC Assessment'!L5)-1)*7,0)</f>
        <v>7.0000000000000007E-2</v>
      </c>
      <c r="I47" s="249">
        <f ca="1">OFFSET('Setup - IPCC Assessment'!$L$24,(ROW('Setup - IPCC Assessment'!L5)-1)*7,0)</f>
        <v>1.03</v>
      </c>
      <c r="J47" s="249">
        <f ca="1">OFFSET('Setup - IPCC Assessment'!$L$25,(ROW('Setup - IPCC Assessment'!L5)-1)*7,0)</f>
        <v>7.5000000000000002E-6</v>
      </c>
      <c r="K47" s="249" t="str">
        <f ca="1">OFFSET('Setup - IPCC Assessment'!$L$26,(ROW('Setup - IPCC Assessment'!L5)-1)*7,0)</f>
        <v>NA</v>
      </c>
      <c r="L47" s="249" t="str">
        <f ca="1">OFFSET('Setup - IPCC Assessment'!$L$27,(ROW('Setup - IPCC Assessment'!L5)-1)*7,0)</f>
        <v>NA</v>
      </c>
      <c r="M47" s="249">
        <f ca="1">OFFSET('Setup - IPCC Assessment'!$L$28,(ROW('Setup - IPCC Assessment'!L5)-1)*7,0)</f>
        <v>0.01</v>
      </c>
      <c r="N47" s="249" t="str">
        <f ca="1">OFFSET('Setup - IPCC Assessment'!$L$29,(ROW('Setup - IPCC Assessment'!L5)-1)*7,0)</f>
        <v>NA</v>
      </c>
      <c r="O47" s="127" t="str">
        <f ca="1">OFFSET('Setup - IPCC Assessment'!$M$23,(ROW('Setup - IPCC Assessment'!M5)-1)*7,0)</f>
        <v>tonnes/y/well</v>
      </c>
      <c r="P47" s="127">
        <f t="shared" ca="1" si="25"/>
        <v>0</v>
      </c>
      <c r="Q47" s="127">
        <f t="shared" ca="1" si="25"/>
        <v>0</v>
      </c>
      <c r="R47" s="127">
        <f t="shared" ca="1" si="26"/>
        <v>0</v>
      </c>
      <c r="S47" s="127">
        <f t="shared" ca="1" si="26"/>
        <v>0</v>
      </c>
      <c r="T47" s="127">
        <f t="shared" ca="1" si="26"/>
        <v>0</v>
      </c>
      <c r="U47" s="127">
        <f t="shared" ca="1" si="26"/>
        <v>0</v>
      </c>
      <c r="V47" s="127">
        <f t="shared" ca="1" si="27"/>
        <v>0</v>
      </c>
    </row>
    <row r="48" spans="1:35" ht="32.15" customHeight="1" x14ac:dyDescent="0.3">
      <c r="A48" s="382"/>
      <c r="B48" s="387"/>
      <c r="C48" s="388"/>
      <c r="D48" s="378" t="str">
        <f ca="1">'Translation Table'!H190</f>
        <v>Onshore unconventional oil production where exploration occurs with flaring or recovery</v>
      </c>
      <c r="E48" s="379"/>
      <c r="F48" s="140">
        <f ca="1">'Setup - IPCC Assessment'!Q58</f>
        <v>0</v>
      </c>
      <c r="G48" s="151" t="s">
        <v>1153</v>
      </c>
      <c r="H48" s="150">
        <f ca="1">OFFSET('Setup - IPCC Assessment'!$L$23,(ROW('Setup - IPCC Assessment'!L6)-1)*7,0)</f>
        <v>0.06</v>
      </c>
      <c r="I48" s="150">
        <f ca="1">OFFSET('Setup - IPCC Assessment'!$L$24,(ROW('Setup - IPCC Assessment'!L6)-1)*7,0)</f>
        <v>0.86</v>
      </c>
      <c r="J48" s="150">
        <f ca="1">OFFSET('Setup - IPCC Assessment'!$L$25,(ROW('Setup - IPCC Assessment'!L6)-1)*7,0)</f>
        <v>6.2999999999999998E-6</v>
      </c>
      <c r="K48" s="150" t="str">
        <f ca="1">OFFSET('Setup - IPCC Assessment'!$L$26,(ROW('Setup - IPCC Assessment'!L6)-1)*7,0)</f>
        <v>NA</v>
      </c>
      <c r="L48" s="150" t="str">
        <f ca="1">OFFSET('Setup - IPCC Assessment'!$L$27,(ROW('Setup - IPCC Assessment'!L6)-1)*7,0)</f>
        <v>NA</v>
      </c>
      <c r="M48" s="150">
        <f ca="1">OFFSET('Setup - IPCC Assessment'!$L$28,(ROW('Setup - IPCC Assessment'!L6)-1)*7,0)</f>
        <v>0.01</v>
      </c>
      <c r="N48" s="150" t="str">
        <f ca="1">OFFSET('Setup - IPCC Assessment'!$L$29,(ROW('Setup - IPCC Assessment'!L6)-1)*7,0)</f>
        <v>NA</v>
      </c>
      <c r="O48" s="196" t="s">
        <v>1180</v>
      </c>
      <c r="P48" s="140">
        <f t="shared" ca="1" si="25"/>
        <v>0</v>
      </c>
      <c r="Q48" s="140">
        <f t="shared" ca="1" si="25"/>
        <v>0</v>
      </c>
      <c r="R48" s="140">
        <f t="shared" ca="1" si="26"/>
        <v>0</v>
      </c>
      <c r="S48" s="140">
        <f t="shared" ca="1" si="26"/>
        <v>0</v>
      </c>
      <c r="T48" s="140">
        <f t="shared" ca="1" si="26"/>
        <v>0</v>
      </c>
      <c r="U48" s="140">
        <f t="shared" ca="1" si="26"/>
        <v>0</v>
      </c>
      <c r="V48" s="140">
        <f t="shared" ca="1" si="27"/>
        <v>0</v>
      </c>
    </row>
    <row r="49" spans="1:22" ht="15" customHeight="1" x14ac:dyDescent="0.3">
      <c r="A49" s="382"/>
      <c r="B49" s="383" t="str">
        <f ca="1">'Translation Table'!H132</f>
        <v>Onshore Conventional</v>
      </c>
      <c r="C49" s="384"/>
      <c r="D49" s="372" t="str">
        <f ca="1">'Translation Table'!H191</f>
        <v>Onshore conventional oil wells drilled in a year</v>
      </c>
      <c r="E49" s="373"/>
      <c r="F49" s="127">
        <f>'Setup - IPCC Assessment'!Q65</f>
        <v>0</v>
      </c>
      <c r="G49" s="255" t="str">
        <f ca="1">'Setup - IPCC Assessment'!H65</f>
        <v>Well Count</v>
      </c>
      <c r="H49" s="249">
        <f ca="1">OFFSET('Setup - IPCC Assessment'!$L$23,(ROW('Setup - IPCC Assessment'!L7)-1)*7,0)</f>
        <v>0.53</v>
      </c>
      <c r="I49" s="249">
        <f ca="1">OFFSET('Setup - IPCC Assessment'!$L$24,(ROW('Setup - IPCC Assessment'!L7)-1)*7,0)</f>
        <v>12.44</v>
      </c>
      <c r="J49" s="249">
        <f ca="1">OFFSET('Setup - IPCC Assessment'!$L$25,(ROW('Setup - IPCC Assessment'!L7)-1)*7,0)</f>
        <v>9.0000000000000006E-5</v>
      </c>
      <c r="K49" s="249" t="str">
        <f ca="1">OFFSET('Setup - IPCC Assessment'!$L$26,(ROW('Setup - IPCC Assessment'!L7)-1)*7,0)</f>
        <v>NA</v>
      </c>
      <c r="L49" s="249" t="str">
        <f ca="1">OFFSET('Setup - IPCC Assessment'!$L$27,(ROW('Setup - IPCC Assessment'!L7)-1)*7,0)</f>
        <v>NA</v>
      </c>
      <c r="M49" s="249">
        <f ca="1">OFFSET('Setup - IPCC Assessment'!$L$28,(ROW('Setup - IPCC Assessment'!L7)-1)*7,0)</f>
        <v>0.08</v>
      </c>
      <c r="N49" s="249" t="str">
        <f ca="1">OFFSET('Setup - IPCC Assessment'!$L$29,(ROW('Setup - IPCC Assessment'!L7)-1)*7,0)</f>
        <v>NA</v>
      </c>
      <c r="O49" s="127" t="str">
        <f ca="1">OFFSET('Setup - IPCC Assessment'!$M$23,(ROW('Setup - IPCC Assessment'!M7)-1)*7,0)</f>
        <v>tonnes/y/well</v>
      </c>
      <c r="P49" s="127">
        <f t="shared" ca="1" si="25"/>
        <v>0</v>
      </c>
      <c r="Q49" s="127">
        <f t="shared" ca="1" si="25"/>
        <v>0</v>
      </c>
      <c r="R49" s="127">
        <f t="shared" ca="1" si="26"/>
        <v>0</v>
      </c>
      <c r="S49" s="127">
        <f t="shared" ca="1" si="26"/>
        <v>0</v>
      </c>
      <c r="T49" s="127">
        <f t="shared" ca="1" si="26"/>
        <v>0</v>
      </c>
      <c r="U49" s="127">
        <f t="shared" ca="1" si="26"/>
        <v>0</v>
      </c>
      <c r="V49" s="127">
        <f t="shared" ca="1" si="27"/>
        <v>0</v>
      </c>
    </row>
    <row r="50" spans="1:22" ht="15" customHeight="1" x14ac:dyDescent="0.3">
      <c r="A50" s="382"/>
      <c r="B50" s="385"/>
      <c r="C50" s="386"/>
      <c r="D50" s="378" t="str">
        <f ca="1">'Translation Table'!H192</f>
        <v>Total conventional onshore oil well population</v>
      </c>
      <c r="E50" s="379"/>
      <c r="F50" s="140">
        <f>'Setup - IPCC Assessment'!Q72</f>
        <v>0</v>
      </c>
      <c r="G50" s="152" t="str">
        <f ca="1">'Setup - IPCC Assessment'!H72</f>
        <v>Well Count</v>
      </c>
      <c r="H50" s="150">
        <f ca="1">OFFSET('Setup - IPCC Assessment'!$L$23,(ROW('Setup - IPCC Assessment'!L8)-1)*7,0)</f>
        <v>0.01</v>
      </c>
      <c r="I50" s="150">
        <f ca="1">OFFSET('Setup - IPCC Assessment'!$L$24,(ROW('Setup - IPCC Assessment'!L8)-1)*7,0)</f>
        <v>0.22</v>
      </c>
      <c r="J50" s="150">
        <f ca="1">OFFSET('Setup - IPCC Assessment'!$L$25,(ROW('Setup - IPCC Assessment'!L8)-1)*7,0)</f>
        <v>1.5999999999999999E-6</v>
      </c>
      <c r="K50" s="150" t="str">
        <f ca="1">OFFSET('Setup - IPCC Assessment'!$L$26,(ROW('Setup - IPCC Assessment'!L8)-1)*7,0)</f>
        <v>NA</v>
      </c>
      <c r="L50" s="150" t="str">
        <f ca="1">OFFSET('Setup - IPCC Assessment'!$L$27,(ROW('Setup - IPCC Assessment'!L8)-1)*7,0)</f>
        <v>NA</v>
      </c>
      <c r="M50" s="150">
        <f ca="1">OFFSET('Setup - IPCC Assessment'!$L$28,(ROW('Setup - IPCC Assessment'!L8)-1)*7,0)</f>
        <v>1.4E-3</v>
      </c>
      <c r="N50" s="150" t="str">
        <f ca="1">OFFSET('Setup - IPCC Assessment'!$L$29,(ROW('Setup - IPCC Assessment'!L8)-1)*7,0)</f>
        <v>NA</v>
      </c>
      <c r="O50" s="140" t="str">
        <f ca="1">OFFSET('Setup - IPCC Assessment'!$M$23,(ROW('Setup - IPCC Assessment'!M8)-1)*7,0)</f>
        <v>tonnes/y/well</v>
      </c>
      <c r="P50" s="140">
        <f t="shared" ca="1" si="25"/>
        <v>0</v>
      </c>
      <c r="Q50" s="140">
        <f t="shared" ca="1" si="25"/>
        <v>0</v>
      </c>
      <c r="R50" s="140">
        <f t="shared" ca="1" si="26"/>
        <v>0</v>
      </c>
      <c r="S50" s="140">
        <f t="shared" ca="1" si="26"/>
        <v>0</v>
      </c>
      <c r="T50" s="140">
        <f t="shared" ca="1" si="26"/>
        <v>0</v>
      </c>
      <c r="U50" s="140">
        <f t="shared" ca="1" si="26"/>
        <v>0</v>
      </c>
      <c r="V50" s="140">
        <f t="shared" ca="1" si="27"/>
        <v>0</v>
      </c>
    </row>
    <row r="51" spans="1:22" ht="15" customHeight="1" x14ac:dyDescent="0.3">
      <c r="A51" s="381"/>
      <c r="B51" s="387"/>
      <c r="C51" s="388"/>
      <c r="D51" s="372" t="str">
        <f ca="1">'Translation Table'!H193</f>
        <v>Onshore conventional oil production</v>
      </c>
      <c r="E51" s="373"/>
      <c r="F51" s="127">
        <f ca="1">'Setup - IPCC Assessment'!Q79</f>
        <v>0</v>
      </c>
      <c r="G51" s="250" t="s">
        <v>1153</v>
      </c>
      <c r="H51" s="249">
        <f ca="1">OFFSET('Setup - IPCC Assessment'!$L$23,(ROW('Setup - IPCC Assessment'!L9)-1)*7,0)</f>
        <v>0.02</v>
      </c>
      <c r="I51" s="249">
        <f ca="1">OFFSET('Setup - IPCC Assessment'!$L$24,(ROW('Setup - IPCC Assessment'!L9)-1)*7,0)</f>
        <v>0.44</v>
      </c>
      <c r="J51" s="249">
        <f ca="1">OFFSET('Setup - IPCC Assessment'!$L$25,(ROW('Setup - IPCC Assessment'!L9)-1)*7,0)</f>
        <v>3.1999999999999999E-6</v>
      </c>
      <c r="K51" s="249" t="str">
        <f ca="1">OFFSET('Setup - IPCC Assessment'!$L$26,(ROW('Setup - IPCC Assessment'!L9)-1)*7,0)</f>
        <v>NA</v>
      </c>
      <c r="L51" s="249" t="str">
        <f ca="1">OFFSET('Setup - IPCC Assessment'!$L$27,(ROW('Setup - IPCC Assessment'!L9)-1)*7,0)</f>
        <v>NA</v>
      </c>
      <c r="M51" s="249">
        <f ca="1">OFFSET('Setup - IPCC Assessment'!$L$28,(ROW('Setup - IPCC Assessment'!L9)-1)*7,0)</f>
        <v>2.8E-3</v>
      </c>
      <c r="N51" s="249" t="str">
        <f ca="1">OFFSET('Setup - IPCC Assessment'!$L$29,(ROW('Setup - IPCC Assessment'!L9)-1)*7,0)</f>
        <v>NA</v>
      </c>
      <c r="O51" s="251" t="s">
        <v>1180</v>
      </c>
      <c r="P51" s="127">
        <f t="shared" ca="1" si="25"/>
        <v>0</v>
      </c>
      <c r="Q51" s="127">
        <f t="shared" ca="1" si="25"/>
        <v>0</v>
      </c>
      <c r="R51" s="127">
        <f t="shared" ca="1" si="26"/>
        <v>0</v>
      </c>
      <c r="S51" s="127">
        <f t="shared" ca="1" si="26"/>
        <v>0</v>
      </c>
      <c r="T51" s="127">
        <f t="shared" ca="1" si="26"/>
        <v>0</v>
      </c>
      <c r="U51" s="127">
        <f t="shared" ca="1" si="26"/>
        <v>0</v>
      </c>
      <c r="V51" s="127">
        <f t="shared" ca="1" si="27"/>
        <v>0</v>
      </c>
    </row>
    <row r="52" spans="1:22" ht="25.15" customHeight="1" x14ac:dyDescent="0.3">
      <c r="A52" s="380" t="str">
        <f ca="1">'Translation Table'!H116</f>
        <v>Oil Production and Upgrading</v>
      </c>
      <c r="B52" s="383" t="str">
        <f ca="1">'Translation Table'!H133</f>
        <v>Onshore: Most activities occurring with higher- emitting technologies and practices</v>
      </c>
      <c r="C52" s="384"/>
      <c r="D52" s="378" t="str">
        <f ca="1">'Translation Table'!H194</f>
        <v>Onshore oil production</v>
      </c>
      <c r="E52" s="379"/>
      <c r="F52" s="140">
        <f ca="1">'Setup - IPCC Assessment'!Q86</f>
        <v>0</v>
      </c>
      <c r="G52" s="151" t="s">
        <v>1153</v>
      </c>
      <c r="H52" s="150">
        <f ca="1">OFFSET('Setup - IPCC Assessment'!$L$23,(ROW('Setup - IPCC Assessment'!L10)-1)*7,0)</f>
        <v>3.43</v>
      </c>
      <c r="I52" s="150">
        <f ca="1">OFFSET('Setup - IPCC Assessment'!$L$24,(ROW('Setup - IPCC Assessment'!L10)-1)*7,0)</f>
        <v>12.4</v>
      </c>
      <c r="J52" s="150">
        <f ca="1">OFFSET('Setup - IPCC Assessment'!$L$25,(ROW('Setup - IPCC Assessment'!L10)-1)*7,0)</f>
        <v>1.9000000000000001E-4</v>
      </c>
      <c r="K52" s="150" t="str">
        <f ca="1">OFFSET('Setup - IPCC Assessment'!$L$26,(ROW('Setup - IPCC Assessment'!L10)-1)*7,0)</f>
        <v>NA</v>
      </c>
      <c r="L52" s="150" t="str">
        <f ca="1">OFFSET('Setup - IPCC Assessment'!$L$27,(ROW('Setup - IPCC Assessment'!L10)-1)*7,0)</f>
        <v>NA</v>
      </c>
      <c r="M52" s="150">
        <f ca="1">OFFSET('Setup - IPCC Assessment'!$L$28,(ROW('Setup - IPCC Assessment'!L10)-1)*7,0)</f>
        <v>1.48</v>
      </c>
      <c r="N52" s="150" t="str">
        <f ca="1">OFFSET('Setup - IPCC Assessment'!$L$29,(ROW('Setup - IPCC Assessment'!L10)-1)*7,0)</f>
        <v>NA</v>
      </c>
      <c r="O52" s="196" t="s">
        <v>1180</v>
      </c>
      <c r="P52" s="140">
        <f t="shared" ca="1" si="25"/>
        <v>0</v>
      </c>
      <c r="Q52" s="140">
        <f t="shared" ca="1" si="25"/>
        <v>0</v>
      </c>
      <c r="R52" s="140">
        <f t="shared" ca="1" si="26"/>
        <v>0</v>
      </c>
      <c r="S52" s="140">
        <f t="shared" ca="1" si="26"/>
        <v>0</v>
      </c>
      <c r="T52" s="140">
        <f t="shared" ca="1" si="26"/>
        <v>0</v>
      </c>
      <c r="U52" s="140">
        <f t="shared" ca="1" si="26"/>
        <v>0</v>
      </c>
      <c r="V52" s="140">
        <f t="shared" ca="1" si="27"/>
        <v>0</v>
      </c>
    </row>
    <row r="53" spans="1:22" ht="25.15" customHeight="1" x14ac:dyDescent="0.3">
      <c r="A53" s="382"/>
      <c r="B53" s="387"/>
      <c r="C53" s="388"/>
      <c r="D53" s="372" t="str">
        <f ca="1">'Translation Table'!H195</f>
        <v>Active onshore oil well</v>
      </c>
      <c r="E53" s="373"/>
      <c r="F53" s="127">
        <f>'Setup - IPCC Assessment'!Q93</f>
        <v>0</v>
      </c>
      <c r="G53" s="255" t="str">
        <f ca="1">'Setup - IPCC Assessment'!H93</f>
        <v>Well Count</v>
      </c>
      <c r="H53" s="249">
        <f ca="1">OFFSET('Setup - IPCC Assessment'!$L$23,(ROW('Setup - IPCC Assessment'!L11)-1)*7,0)</f>
        <v>2.35</v>
      </c>
      <c r="I53" s="249">
        <f ca="1">OFFSET('Setup - IPCC Assessment'!$L$24,(ROW('Setup - IPCC Assessment'!L11)-1)*7,0)</f>
        <v>8.4700000000000006</v>
      </c>
      <c r="J53" s="249">
        <f ca="1">OFFSET('Setup - IPCC Assessment'!$L$25,(ROW('Setup - IPCC Assessment'!L11)-1)*7,0)</f>
        <v>1.2999999999999999E-4</v>
      </c>
      <c r="K53" s="249" t="str">
        <f ca="1">OFFSET('Setup - IPCC Assessment'!$L$26,(ROW('Setup - IPCC Assessment'!L11)-1)*7,0)</f>
        <v>NA</v>
      </c>
      <c r="L53" s="249" t="str">
        <f ca="1">OFFSET('Setup - IPCC Assessment'!$L$27,(ROW('Setup - IPCC Assessment'!L11)-1)*7,0)</f>
        <v>NA</v>
      </c>
      <c r="M53" s="249">
        <f ca="1">OFFSET('Setup - IPCC Assessment'!$L$28,(ROW('Setup - IPCC Assessment'!L11)-1)*7,0)</f>
        <v>1.01</v>
      </c>
      <c r="N53" s="249" t="str">
        <f ca="1">OFFSET('Setup - IPCC Assessment'!$L$29,(ROW('Setup - IPCC Assessment'!L11)-1)*7,0)</f>
        <v>NA</v>
      </c>
      <c r="O53" s="127" t="str">
        <f ca="1">OFFSET('Setup - IPCC Assessment'!$M$23,(ROW('Setup - IPCC Assessment'!M11)-1)*7,0)</f>
        <v>tonnes/y/well</v>
      </c>
      <c r="P53" s="127">
        <f t="shared" ca="1" si="25"/>
        <v>0</v>
      </c>
      <c r="Q53" s="127">
        <f t="shared" ca="1" si="25"/>
        <v>0</v>
      </c>
      <c r="R53" s="127">
        <f t="shared" ca="1" si="26"/>
        <v>0</v>
      </c>
      <c r="S53" s="127">
        <f t="shared" ca="1" si="26"/>
        <v>0</v>
      </c>
      <c r="T53" s="127">
        <f t="shared" ca="1" si="26"/>
        <v>0</v>
      </c>
      <c r="U53" s="127">
        <f t="shared" ca="1" si="26"/>
        <v>0</v>
      </c>
      <c r="V53" s="127">
        <f t="shared" ca="1" si="27"/>
        <v>0</v>
      </c>
    </row>
    <row r="54" spans="1:22" ht="25.15" customHeight="1" x14ac:dyDescent="0.3">
      <c r="A54" s="382"/>
      <c r="B54" s="383" t="str">
        <f ca="1">'Translation Table'!H134</f>
        <v>Onshore: Most activities occurring with lower-emitting technologies and practices</v>
      </c>
      <c r="C54" s="384"/>
      <c r="D54" s="378" t="str">
        <f ca="1">'Translation Table'!H196</f>
        <v>Onshore oil production</v>
      </c>
      <c r="E54" s="379"/>
      <c r="F54" s="140">
        <f ca="1">'Setup - IPCC Assessment'!Q100</f>
        <v>0</v>
      </c>
      <c r="G54" s="151" t="s">
        <v>1153</v>
      </c>
      <c r="H54" s="150">
        <f ca="1">OFFSET('Setup - IPCC Assessment'!$L$23,(ROW('Setup - IPCC Assessment'!L12)-1)*7,0)</f>
        <v>2.91</v>
      </c>
      <c r="I54" s="150">
        <f ca="1">OFFSET('Setup - IPCC Assessment'!$L$24,(ROW('Setup - IPCC Assessment'!L12)-1)*7,0)</f>
        <v>44.99</v>
      </c>
      <c r="J54" s="150">
        <f ca="1">OFFSET('Setup - IPCC Assessment'!$L$25,(ROW('Setup - IPCC Assessment'!L12)-1)*7,0)</f>
        <v>6.7000000000000002E-4</v>
      </c>
      <c r="K54" s="150" t="str">
        <f ca="1">OFFSET('Setup - IPCC Assessment'!$L$26,(ROW('Setup - IPCC Assessment'!L12)-1)*7,0)</f>
        <v>NA</v>
      </c>
      <c r="L54" s="150" t="str">
        <f ca="1">OFFSET('Setup - IPCC Assessment'!$L$27,(ROW('Setup - IPCC Assessment'!L12)-1)*7,0)</f>
        <v>NA</v>
      </c>
      <c r="M54" s="150">
        <f ca="1">OFFSET('Setup - IPCC Assessment'!$L$28,(ROW('Setup - IPCC Assessment'!L12)-1)*7,0)</f>
        <v>1.25</v>
      </c>
      <c r="N54" s="150" t="str">
        <f ca="1">OFFSET('Setup - IPCC Assessment'!$L$29,(ROW('Setup - IPCC Assessment'!L12)-1)*7,0)</f>
        <v>NA</v>
      </c>
      <c r="O54" s="196" t="s">
        <v>1180</v>
      </c>
      <c r="P54" s="140">
        <f t="shared" ca="1" si="25"/>
        <v>0</v>
      </c>
      <c r="Q54" s="140">
        <f t="shared" ca="1" si="25"/>
        <v>0</v>
      </c>
      <c r="R54" s="140">
        <f t="shared" ca="1" si="26"/>
        <v>0</v>
      </c>
      <c r="S54" s="140">
        <f t="shared" ca="1" si="26"/>
        <v>0</v>
      </c>
      <c r="T54" s="140">
        <f t="shared" ca="1" si="26"/>
        <v>0</v>
      </c>
      <c r="U54" s="140">
        <f t="shared" ca="1" si="26"/>
        <v>0</v>
      </c>
      <c r="V54" s="140">
        <f t="shared" ca="1" si="27"/>
        <v>0</v>
      </c>
    </row>
    <row r="55" spans="1:22" ht="25.15" customHeight="1" x14ac:dyDescent="0.3">
      <c r="A55" s="382"/>
      <c r="B55" s="387"/>
      <c r="C55" s="388"/>
      <c r="D55" s="372" t="str">
        <f ca="1">'Translation Table'!H197</f>
        <v>Active onshore oil well</v>
      </c>
      <c r="E55" s="373"/>
      <c r="F55" s="127">
        <f>'Setup - IPCC Assessment'!Q107</f>
        <v>0</v>
      </c>
      <c r="G55" s="255" t="str">
        <f ca="1">'Setup - IPCC Assessment'!H107</f>
        <v>Well Count</v>
      </c>
      <c r="H55" s="249">
        <f ca="1">OFFSET('Setup - IPCC Assessment'!$L$23,(ROW('Setup - IPCC Assessment'!L13)-1)*7,0)</f>
        <v>2.19</v>
      </c>
      <c r="I55" s="249">
        <f ca="1">OFFSET('Setup - IPCC Assessment'!$L$24,(ROW('Setup - IPCC Assessment'!L13)-1)*7,0)</f>
        <v>33.83</v>
      </c>
      <c r="J55" s="249">
        <f ca="1">OFFSET('Setup - IPCC Assessment'!$L$25,(ROW('Setup - IPCC Assessment'!L13)-1)*7,0)</f>
        <v>5.1000000000000004E-4</v>
      </c>
      <c r="K55" s="249" t="str">
        <f ca="1">OFFSET('Setup - IPCC Assessment'!$L$26,(ROW('Setup - IPCC Assessment'!L13)-1)*7,0)</f>
        <v>NA</v>
      </c>
      <c r="L55" s="249" t="str">
        <f ca="1">OFFSET('Setup - IPCC Assessment'!$L$27,(ROW('Setup - IPCC Assessment'!L13)-1)*7,0)</f>
        <v>NA</v>
      </c>
      <c r="M55" s="249">
        <f ca="1">OFFSET('Setup - IPCC Assessment'!$L$28,(ROW('Setup - IPCC Assessment'!L13)-1)*7,0)</f>
        <v>0.94</v>
      </c>
      <c r="N55" s="249" t="str">
        <f ca="1">OFFSET('Setup - IPCC Assessment'!$L$29,(ROW('Setup - IPCC Assessment'!L13)-1)*7,0)</f>
        <v>NA</v>
      </c>
      <c r="O55" s="127" t="str">
        <f ca="1">OFFSET('Setup - IPCC Assessment'!$M$23,(ROW('Setup - IPCC Assessment'!M13)-1)*7,0)</f>
        <v>tonnes/y/well</v>
      </c>
      <c r="P55" s="127">
        <f t="shared" ca="1" si="25"/>
        <v>0</v>
      </c>
      <c r="Q55" s="127">
        <f t="shared" ca="1" si="25"/>
        <v>0</v>
      </c>
      <c r="R55" s="127">
        <f t="shared" ca="1" si="26"/>
        <v>0</v>
      </c>
      <c r="S55" s="127">
        <f t="shared" ca="1" si="26"/>
        <v>0</v>
      </c>
      <c r="T55" s="127">
        <f t="shared" ca="1" si="26"/>
        <v>0</v>
      </c>
      <c r="U55" s="127">
        <f t="shared" ca="1" si="26"/>
        <v>0</v>
      </c>
      <c r="V55" s="127">
        <f t="shared" ca="1" si="27"/>
        <v>0</v>
      </c>
    </row>
    <row r="56" spans="1:22" ht="25.15" customHeight="1" x14ac:dyDescent="0.3">
      <c r="A56" s="382"/>
      <c r="B56" s="383" t="str">
        <f ca="1">'Translation Table'!H135</f>
        <v>Onshore All</v>
      </c>
      <c r="C56" s="384"/>
      <c r="D56" s="378" t="str">
        <f ca="1">'Translation Table'!H198</f>
        <v>Onshore oil production</v>
      </c>
      <c r="E56" s="379"/>
      <c r="F56" s="140">
        <f ca="1">'Setup - IPCC Assessment'!Q114</f>
        <v>0</v>
      </c>
      <c r="G56" s="151" t="s">
        <v>1153</v>
      </c>
      <c r="H56" s="150" t="str">
        <f ca="1">OFFSET('Setup - IPCC Assessment'!$L$23,(ROW('Setup - IPCC Assessment'!L14)-1)*7,0)</f>
        <v>NA</v>
      </c>
      <c r="I56" s="150" t="str">
        <f ca="1">OFFSET('Setup - IPCC Assessment'!$L$24,(ROW('Setup - IPCC Assessment'!L14)-1)*7,0)</f>
        <v>NA</v>
      </c>
      <c r="J56" s="150" t="str">
        <f ca="1">OFFSET('Setup - IPCC Assessment'!$L$25,(ROW('Setup - IPCC Assessment'!L14)-1)*7,0)</f>
        <v>NA</v>
      </c>
      <c r="K56" s="150" t="str">
        <f ca="1">OFFSET('Setup - IPCC Assessment'!$L$26,(ROW('Setup - IPCC Assessment'!L14)-1)*7,0)</f>
        <v>NA</v>
      </c>
      <c r="L56" s="150" t="str">
        <f ca="1">OFFSET('Setup - IPCC Assessment'!$L$27,(ROW('Setup - IPCC Assessment'!L14)-1)*7,0)</f>
        <v>NA</v>
      </c>
      <c r="M56" s="150" t="str">
        <f ca="1">OFFSET('Setup - IPCC Assessment'!$L$28,(ROW('Setup - IPCC Assessment'!L14)-1)*7,0)</f>
        <v>NA</v>
      </c>
      <c r="N56" s="150" t="str">
        <f ca="1">OFFSET('Setup - IPCC Assessment'!$L$29,(ROW('Setup - IPCC Assessment'!L14)-1)*7,0)</f>
        <v>NA</v>
      </c>
      <c r="O56" s="196" t="s">
        <v>1180</v>
      </c>
      <c r="P56" s="140">
        <f t="shared" ref="P56:P57" ca="1" si="28">IF(OR(H56="NA",H56="ND"),0,$F56*H56)</f>
        <v>0</v>
      </c>
      <c r="Q56" s="140">
        <f t="shared" ref="Q56:U57" ca="1" si="29">IF(OR(I56="NA",I56="ND"),0,$F56*I56)</f>
        <v>0</v>
      </c>
      <c r="R56" s="140">
        <f t="shared" ca="1" si="29"/>
        <v>0</v>
      </c>
      <c r="S56" s="140">
        <f t="shared" ca="1" si="29"/>
        <v>0</v>
      </c>
      <c r="T56" s="140">
        <f t="shared" ca="1" si="29"/>
        <v>0</v>
      </c>
      <c r="U56" s="140">
        <f t="shared" ca="1" si="29"/>
        <v>0</v>
      </c>
      <c r="V56" s="140">
        <f t="shared" ref="V56:V57" ca="1" si="30">IF(OR(N56="NA",N56="ND"),0,$F56*N56)</f>
        <v>0</v>
      </c>
    </row>
    <row r="57" spans="1:22" ht="25.15" customHeight="1" x14ac:dyDescent="0.3">
      <c r="A57" s="382"/>
      <c r="B57" s="387"/>
      <c r="C57" s="388"/>
      <c r="D57" s="372" t="str">
        <f ca="1">'Translation Table'!H199</f>
        <v>Active onshore oil well</v>
      </c>
      <c r="E57" s="373"/>
      <c r="F57" s="127">
        <f>'Setup - IPCC Assessment'!Q121</f>
        <v>0</v>
      </c>
      <c r="G57" s="255" t="str">
        <f ca="1">'Setup - IPCC Assessment'!H121</f>
        <v>Well Count</v>
      </c>
      <c r="H57" s="249" t="str">
        <f ca="1">OFFSET('Setup - IPCC Assessment'!$L$23,(ROW('Setup - IPCC Assessment'!L15)-1)*7,0)</f>
        <v>NA</v>
      </c>
      <c r="I57" s="249" t="str">
        <f ca="1">OFFSET('Setup - IPCC Assessment'!$L$24,(ROW('Setup - IPCC Assessment'!L15)-1)*7,0)</f>
        <v>NA</v>
      </c>
      <c r="J57" s="249" t="str">
        <f ca="1">OFFSET('Setup - IPCC Assessment'!$L$25,(ROW('Setup - IPCC Assessment'!L15)-1)*7,0)</f>
        <v>NA</v>
      </c>
      <c r="K57" s="249" t="str">
        <f ca="1">OFFSET('Setup - IPCC Assessment'!$L$26,(ROW('Setup - IPCC Assessment'!L15)-1)*7,0)</f>
        <v>NA</v>
      </c>
      <c r="L57" s="249" t="str">
        <f ca="1">OFFSET('Setup - IPCC Assessment'!$L$27,(ROW('Setup - IPCC Assessment'!L15)-1)*7,0)</f>
        <v>NA</v>
      </c>
      <c r="M57" s="249" t="str">
        <f ca="1">OFFSET('Setup - IPCC Assessment'!$L$28,(ROW('Setup - IPCC Assessment'!L15)-1)*7,0)</f>
        <v>NA</v>
      </c>
      <c r="N57" s="249" t="str">
        <f ca="1">OFFSET('Setup - IPCC Assessment'!$L$29,(ROW('Setup - IPCC Assessment'!L15)-1)*7,0)</f>
        <v>NA</v>
      </c>
      <c r="O57" s="127" t="str">
        <f ca="1">OFFSET('Setup - IPCC Assessment'!$M$23,(ROW('Setup - IPCC Assessment'!M15)-1)*7,0)</f>
        <v>tonnes/y/well</v>
      </c>
      <c r="P57" s="127">
        <f t="shared" ca="1" si="28"/>
        <v>0</v>
      </c>
      <c r="Q57" s="127">
        <f t="shared" ca="1" si="29"/>
        <v>0</v>
      </c>
      <c r="R57" s="127">
        <f t="shared" ca="1" si="29"/>
        <v>0</v>
      </c>
      <c r="S57" s="127">
        <f t="shared" ca="1" si="29"/>
        <v>0</v>
      </c>
      <c r="T57" s="127">
        <f t="shared" ca="1" si="29"/>
        <v>0</v>
      </c>
      <c r="U57" s="127">
        <f t="shared" ca="1" si="29"/>
        <v>0</v>
      </c>
      <c r="V57" s="127">
        <f t="shared" ca="1" si="30"/>
        <v>0</v>
      </c>
    </row>
    <row r="58" spans="1:22" ht="32.15" customHeight="1" x14ac:dyDescent="0.3">
      <c r="A58" s="382"/>
      <c r="B58" s="370" t="str">
        <f ca="1">'Translation Table'!H136</f>
        <v>Onshore: Oil Sands Mining and Ore Processing</v>
      </c>
      <c r="C58" s="371"/>
      <c r="D58" s="378" t="str">
        <f ca="1">'Translation Table'!H200</f>
        <v>Crude bitumen production from surface mining</v>
      </c>
      <c r="E58" s="379"/>
      <c r="F58" s="140">
        <f ca="1">'Setup - IPCC Assessment'!Q128</f>
        <v>0</v>
      </c>
      <c r="G58" s="151" t="s">
        <v>1153</v>
      </c>
      <c r="H58" s="150">
        <f ca="1">OFFSET('Setup - IPCC Assessment'!$L$23,(ROW('Setup - IPCC Assessment'!L16)-1)*7,0)</f>
        <v>0.74</v>
      </c>
      <c r="I58" s="150">
        <f ca="1">OFFSET('Setup - IPCC Assessment'!$L$24,(ROW('Setup - IPCC Assessment'!L16)-1)*7,0)</f>
        <v>7.56</v>
      </c>
      <c r="J58" s="150">
        <f ca="1">OFFSET('Setup - IPCC Assessment'!$L$25,(ROW('Setup - IPCC Assessment'!L16)-1)*7,0)</f>
        <v>1.1E-5</v>
      </c>
      <c r="K58" s="150" t="str">
        <f ca="1">OFFSET('Setup - IPCC Assessment'!$L$26,(ROW('Setup - IPCC Assessment'!L16)-1)*7,0)</f>
        <v>NA</v>
      </c>
      <c r="L58" s="150" t="str">
        <f ca="1">OFFSET('Setup - IPCC Assessment'!$L$27,(ROW('Setup - IPCC Assessment'!L16)-1)*7,0)</f>
        <v>NA</v>
      </c>
      <c r="M58" s="150">
        <f ca="1">OFFSET('Setup - IPCC Assessment'!$L$28,(ROW('Setup - IPCC Assessment'!L16)-1)*7,0)</f>
        <v>0.65</v>
      </c>
      <c r="N58" s="150" t="str">
        <f ca="1">OFFSET('Setup - IPCC Assessment'!$L$29,(ROW('Setup - IPCC Assessment'!L16)-1)*7,0)</f>
        <v>NA</v>
      </c>
      <c r="O58" s="196" t="s">
        <v>1180</v>
      </c>
      <c r="P58" s="140">
        <f t="shared" ca="1" si="25"/>
        <v>0</v>
      </c>
      <c r="Q58" s="140">
        <f t="shared" ca="1" si="25"/>
        <v>0</v>
      </c>
      <c r="R58" s="140">
        <f t="shared" ca="1" si="26"/>
        <v>0</v>
      </c>
      <c r="S58" s="140">
        <f t="shared" ca="1" si="26"/>
        <v>0</v>
      </c>
      <c r="T58" s="140">
        <f t="shared" ca="1" si="26"/>
        <v>0</v>
      </c>
      <c r="U58" s="140">
        <f t="shared" ca="1" si="26"/>
        <v>0</v>
      </c>
      <c r="V58" s="140">
        <f t="shared" ca="1" si="27"/>
        <v>0</v>
      </c>
    </row>
    <row r="59" spans="1:22" ht="15" customHeight="1" x14ac:dyDescent="0.3">
      <c r="A59" s="382"/>
      <c r="B59" s="370" t="str">
        <f ca="1">'Translation Table'!H137</f>
        <v>Onshore: Oil Sands Upgrading</v>
      </c>
      <c r="C59" s="371"/>
      <c r="D59" s="372" t="str">
        <f ca="1">'Translation Table'!H201</f>
        <v>Synthetic crude oil production</v>
      </c>
      <c r="E59" s="373"/>
      <c r="F59" s="127">
        <f ca="1">'Setup - IPCC Assessment'!Q135</f>
        <v>0</v>
      </c>
      <c r="G59" s="250" t="s">
        <v>1153</v>
      </c>
      <c r="H59" s="249">
        <f ca="1">OFFSET('Setup - IPCC Assessment'!$L$23,(ROW('Setup - IPCC Assessment'!L17)-1)*7,0)</f>
        <v>0.13</v>
      </c>
      <c r="I59" s="249">
        <f ca="1">OFFSET('Setup - IPCC Assessment'!$L$24,(ROW('Setup - IPCC Assessment'!L17)-1)*7,0)</f>
        <v>90.73</v>
      </c>
      <c r="J59" s="249">
        <f ca="1">OFFSET('Setup - IPCC Assessment'!$L$25,(ROW('Setup - IPCC Assessment'!L17)-1)*7,0)</f>
        <v>2.8E-5</v>
      </c>
      <c r="K59" s="249" t="str">
        <f ca="1">OFFSET('Setup - IPCC Assessment'!$L$26,(ROW('Setup - IPCC Assessment'!L17)-1)*7,0)</f>
        <v>NA</v>
      </c>
      <c r="L59" s="249" t="str">
        <f ca="1">OFFSET('Setup - IPCC Assessment'!$L$27,(ROW('Setup - IPCC Assessment'!L17)-1)*7,0)</f>
        <v>NA</v>
      </c>
      <c r="M59" s="249">
        <f ca="1">OFFSET('Setup - IPCC Assessment'!$L$28,(ROW('Setup - IPCC Assessment'!L17)-1)*7,0)</f>
        <v>7.0000000000000007E-2</v>
      </c>
      <c r="N59" s="249" t="str">
        <f ca="1">OFFSET('Setup - IPCC Assessment'!$L$29,(ROW('Setup - IPCC Assessment'!L17)-1)*7,0)</f>
        <v>NA</v>
      </c>
      <c r="O59" s="251" t="s">
        <v>1180</v>
      </c>
      <c r="P59" s="127">
        <f t="shared" ca="1" si="25"/>
        <v>0</v>
      </c>
      <c r="Q59" s="127">
        <f t="shared" ca="1" si="25"/>
        <v>0</v>
      </c>
      <c r="R59" s="127">
        <f t="shared" ca="1" si="26"/>
        <v>0</v>
      </c>
      <c r="S59" s="127">
        <f t="shared" ca="1" si="26"/>
        <v>0</v>
      </c>
      <c r="T59" s="127">
        <f t="shared" ca="1" si="26"/>
        <v>0</v>
      </c>
      <c r="U59" s="127">
        <f t="shared" ca="1" si="26"/>
        <v>0</v>
      </c>
      <c r="V59" s="127">
        <f t="shared" ca="1" si="27"/>
        <v>0</v>
      </c>
    </row>
    <row r="60" spans="1:22" ht="15" customHeight="1" x14ac:dyDescent="0.3">
      <c r="A60" s="381"/>
      <c r="B60" s="370" t="str">
        <f ca="1">'Translation Table'!H138</f>
        <v>Offshore</v>
      </c>
      <c r="C60" s="371"/>
      <c r="D60" s="378" t="str">
        <f ca="1">'Translation Table'!H202</f>
        <v>Offshore oil production</v>
      </c>
      <c r="E60" s="379"/>
      <c r="F60" s="140">
        <f ca="1">'Setup - IPCC Assessment'!Q142</f>
        <v>0</v>
      </c>
      <c r="G60" s="151" t="s">
        <v>1153</v>
      </c>
      <c r="H60" s="150">
        <f ca="1">OFFSET('Setup - IPCC Assessment'!$L$23,(ROW('Setup - IPCC Assessment'!L18)-1)*7,0)</f>
        <v>2.46</v>
      </c>
      <c r="I60" s="150">
        <f ca="1">OFFSET('Setup - IPCC Assessment'!$L$24,(ROW('Setup - IPCC Assessment'!L18)-1)*7,0)</f>
        <v>4.08</v>
      </c>
      <c r="J60" s="150">
        <f ca="1">OFFSET('Setup - IPCC Assessment'!$L$25,(ROW('Setup - IPCC Assessment'!L18)-1)*7,0)</f>
        <v>1.5999999999999999E-5</v>
      </c>
      <c r="K60" s="150" t="str">
        <f ca="1">OFFSET('Setup - IPCC Assessment'!$L$26,(ROW('Setup - IPCC Assessment'!L18)-1)*7,0)</f>
        <v>NA</v>
      </c>
      <c r="L60" s="150" t="str">
        <f ca="1">OFFSET('Setup - IPCC Assessment'!$L$27,(ROW('Setup - IPCC Assessment'!L18)-1)*7,0)</f>
        <v>NA</v>
      </c>
      <c r="M60" s="150">
        <f ca="1">OFFSET('Setup - IPCC Assessment'!$L$28,(ROW('Setup - IPCC Assessment'!L18)-1)*7,0)</f>
        <v>1.06</v>
      </c>
      <c r="N60" s="150" t="str">
        <f ca="1">OFFSET('Setup - IPCC Assessment'!$L$29,(ROW('Setup - IPCC Assessment'!L18)-1)*7,0)</f>
        <v>NA</v>
      </c>
      <c r="O60" s="196" t="s">
        <v>1180</v>
      </c>
      <c r="P60" s="140">
        <f t="shared" ca="1" si="25"/>
        <v>0</v>
      </c>
      <c r="Q60" s="140">
        <f t="shared" ca="1" si="25"/>
        <v>0</v>
      </c>
      <c r="R60" s="140">
        <f t="shared" ca="1" si="26"/>
        <v>0</v>
      </c>
      <c r="S60" s="140">
        <f t="shared" ca="1" si="26"/>
        <v>0</v>
      </c>
      <c r="T60" s="140">
        <f t="shared" ca="1" si="26"/>
        <v>0</v>
      </c>
      <c r="U60" s="140">
        <f t="shared" ca="1" si="26"/>
        <v>0</v>
      </c>
      <c r="V60" s="140">
        <f t="shared" ca="1" si="27"/>
        <v>0</v>
      </c>
    </row>
    <row r="61" spans="1:22" ht="15" customHeight="1" x14ac:dyDescent="0.3">
      <c r="A61" s="380" t="str">
        <f ca="1">'Translation Table'!H117</f>
        <v>Oil Transport</v>
      </c>
      <c r="B61" s="370" t="str">
        <f ca="1">'Translation Table'!H139</f>
        <v>Pipelines</v>
      </c>
      <c r="C61" s="371"/>
      <c r="D61" s="372" t="str">
        <f ca="1">'Translation Table'!H203</f>
        <v>Oil transported by pipeline</v>
      </c>
      <c r="E61" s="373"/>
      <c r="F61" s="127">
        <f ca="1">'Setup - IPCC Assessment'!Q149</f>
        <v>0</v>
      </c>
      <c r="G61" s="250" t="s">
        <v>1153</v>
      </c>
      <c r="H61" s="249">
        <f ca="1">OFFSET('Setup - IPCC Assessment'!$L$23,(ROW('Setup - IPCC Assessment'!L19)-1)*7,0)</f>
        <v>5.4000000000000003E-3</v>
      </c>
      <c r="I61" s="249">
        <f ca="1">OFFSET('Setup - IPCC Assessment'!$L$24,(ROW('Setup - IPCC Assessment'!L19)-1)*7,0)</f>
        <v>4.8999999999999998E-4</v>
      </c>
      <c r="J61" s="249" t="str">
        <f ca="1">OFFSET('Setup - IPCC Assessment'!$L$25,(ROW('Setup - IPCC Assessment'!L19)-1)*7,0)</f>
        <v>NA</v>
      </c>
      <c r="K61" s="249" t="str">
        <f ca="1">OFFSET('Setup - IPCC Assessment'!$L$26,(ROW('Setup - IPCC Assessment'!L19)-1)*7,0)</f>
        <v>NA</v>
      </c>
      <c r="L61" s="249" t="str">
        <f ca="1">OFFSET('Setup - IPCC Assessment'!$L$27,(ROW('Setup - IPCC Assessment'!L19)-1)*7,0)</f>
        <v>NA</v>
      </c>
      <c r="M61" s="249">
        <f ca="1">OFFSET('Setup - IPCC Assessment'!$L$28,(ROW('Setup - IPCC Assessment'!L19)-1)*7,0)</f>
        <v>5.3999999999999999E-2</v>
      </c>
      <c r="N61" s="249" t="str">
        <f ca="1">OFFSET('Setup - IPCC Assessment'!$L$29,(ROW('Setup - IPCC Assessment'!L19)-1)*7,0)</f>
        <v>NA</v>
      </c>
      <c r="O61" s="251" t="s">
        <v>1180</v>
      </c>
      <c r="P61" s="127">
        <f t="shared" ca="1" si="25"/>
        <v>0</v>
      </c>
      <c r="Q61" s="127">
        <f t="shared" ca="1" si="25"/>
        <v>0</v>
      </c>
      <c r="R61" s="127">
        <f t="shared" ca="1" si="26"/>
        <v>0</v>
      </c>
      <c r="S61" s="127">
        <f t="shared" ca="1" si="26"/>
        <v>0</v>
      </c>
      <c r="T61" s="127">
        <f t="shared" ca="1" si="26"/>
        <v>0</v>
      </c>
      <c r="U61" s="127">
        <f t="shared" ca="1" si="26"/>
        <v>0</v>
      </c>
      <c r="V61" s="127">
        <f t="shared" ca="1" si="27"/>
        <v>0</v>
      </c>
    </row>
    <row r="62" spans="1:22" ht="15" customHeight="1" x14ac:dyDescent="0.3">
      <c r="A62" s="382"/>
      <c r="B62" s="370" t="str">
        <f ca="1">'Translation Table'!H140</f>
        <v>Tanker Trucks and Rail Cars</v>
      </c>
      <c r="C62" s="371"/>
      <c r="D62" s="378" t="str">
        <f ca="1">'Translation Table'!H204</f>
        <v>Oil transported by Tanker Truck or rail car</v>
      </c>
      <c r="E62" s="379"/>
      <c r="F62" s="140">
        <f ca="1">'Setup - IPCC Assessment'!Q156</f>
        <v>0</v>
      </c>
      <c r="G62" s="151" t="s">
        <v>1153</v>
      </c>
      <c r="H62" s="150">
        <f ca="1">OFFSET('Setup - IPCC Assessment'!$L$23,(ROW('Setup - IPCC Assessment'!L20)-1)*7,0)</f>
        <v>2.5000000000000001E-2</v>
      </c>
      <c r="I62" s="150">
        <f ca="1">OFFSET('Setup - IPCC Assessment'!$L$24,(ROW('Setup - IPCC Assessment'!L20)-1)*7,0)</f>
        <v>2.3E-3</v>
      </c>
      <c r="J62" s="150" t="str">
        <f ca="1">OFFSET('Setup - IPCC Assessment'!$L$25,(ROW('Setup - IPCC Assessment'!L20)-1)*7,0)</f>
        <v>NA</v>
      </c>
      <c r="K62" s="150" t="str">
        <f ca="1">OFFSET('Setup - IPCC Assessment'!$L$26,(ROW('Setup - IPCC Assessment'!L20)-1)*7,0)</f>
        <v>NA</v>
      </c>
      <c r="L62" s="150" t="str">
        <f ca="1">OFFSET('Setup - IPCC Assessment'!$L$27,(ROW('Setup - IPCC Assessment'!L20)-1)*7,0)</f>
        <v>NA</v>
      </c>
      <c r="M62" s="150">
        <f ca="1">OFFSET('Setup - IPCC Assessment'!$L$28,(ROW('Setup - IPCC Assessment'!L20)-1)*7,0)</f>
        <v>0.25</v>
      </c>
      <c r="N62" s="150" t="str">
        <f ca="1">OFFSET('Setup - IPCC Assessment'!$L$29,(ROW('Setup - IPCC Assessment'!L20)-1)*7,0)</f>
        <v>NA</v>
      </c>
      <c r="O62" s="196" t="s">
        <v>1180</v>
      </c>
      <c r="P62" s="140">
        <f t="shared" ca="1" si="25"/>
        <v>0</v>
      </c>
      <c r="Q62" s="140">
        <f t="shared" ca="1" si="25"/>
        <v>0</v>
      </c>
      <c r="R62" s="140">
        <f t="shared" ca="1" si="26"/>
        <v>0</v>
      </c>
      <c r="S62" s="140">
        <f t="shared" ca="1" si="26"/>
        <v>0</v>
      </c>
      <c r="T62" s="140">
        <f t="shared" ca="1" si="26"/>
        <v>0</v>
      </c>
      <c r="U62" s="140">
        <f t="shared" ca="1" si="26"/>
        <v>0</v>
      </c>
      <c r="V62" s="140">
        <f t="shared" ca="1" si="27"/>
        <v>0</v>
      </c>
    </row>
    <row r="63" spans="1:22" ht="15" customHeight="1" x14ac:dyDescent="0.3">
      <c r="A63" s="382"/>
      <c r="B63" s="370" t="str">
        <f ca="1">'Translation Table'!H141</f>
        <v>Tanks</v>
      </c>
      <c r="C63" s="371"/>
      <c r="D63" s="372" t="str">
        <f ca="1">'Translation Table'!H205</f>
        <v>Crude oil feed</v>
      </c>
      <c r="E63" s="373"/>
      <c r="F63" s="127">
        <f ca="1">'Setup - IPCC Assessment'!Q163</f>
        <v>0</v>
      </c>
      <c r="G63" s="250" t="s">
        <v>1153</v>
      </c>
      <c r="H63" s="249">
        <f ca="1">OFFSET('Setup - IPCC Assessment'!$L$23,(ROW('Setup - IPCC Assessment'!L21)-1)*7,0)</f>
        <v>2E-3</v>
      </c>
      <c r="I63" s="249" t="str">
        <f ca="1">OFFSET('Setup - IPCC Assessment'!$L$24,(ROW('Setup - IPCC Assessment'!L21)-1)*7,0)</f>
        <v>NA</v>
      </c>
      <c r="J63" s="249" t="str">
        <f ca="1">OFFSET('Setup - IPCC Assessment'!$L$25,(ROW('Setup - IPCC Assessment'!L21)-1)*7,0)</f>
        <v>NA</v>
      </c>
      <c r="K63" s="249" t="str">
        <f ca="1">OFFSET('Setup - IPCC Assessment'!$L$26,(ROW('Setup - IPCC Assessment'!L21)-1)*7,0)</f>
        <v>NA</v>
      </c>
      <c r="L63" s="249" t="str">
        <f ca="1">OFFSET('Setup - IPCC Assessment'!$L$27,(ROW('Setup - IPCC Assessment'!L21)-1)*7,0)</f>
        <v>NA</v>
      </c>
      <c r="M63" s="249" t="str">
        <f ca="1">OFFSET('Setup - IPCC Assessment'!$L$28,(ROW('Setup - IPCC Assessment'!L21)-1)*7,0)</f>
        <v>NA</v>
      </c>
      <c r="N63" s="249" t="str">
        <f ca="1">OFFSET('Setup - IPCC Assessment'!$L$29,(ROW('Setup - IPCC Assessment'!L21)-1)*7,0)</f>
        <v>NA</v>
      </c>
      <c r="O63" s="251" t="s">
        <v>1180</v>
      </c>
      <c r="P63" s="127">
        <f t="shared" ca="1" si="25"/>
        <v>0</v>
      </c>
      <c r="Q63" s="127">
        <f t="shared" ca="1" si="25"/>
        <v>0</v>
      </c>
      <c r="R63" s="127">
        <f t="shared" ca="1" si="26"/>
        <v>0</v>
      </c>
      <c r="S63" s="127">
        <f t="shared" ca="1" si="26"/>
        <v>0</v>
      </c>
      <c r="T63" s="127">
        <f t="shared" ca="1" si="26"/>
        <v>0</v>
      </c>
      <c r="U63" s="127">
        <f t="shared" ca="1" si="26"/>
        <v>0</v>
      </c>
      <c r="V63" s="127">
        <f t="shared" ca="1" si="27"/>
        <v>0</v>
      </c>
    </row>
    <row r="64" spans="1:22" ht="32.15" customHeight="1" x14ac:dyDescent="0.3">
      <c r="A64" s="382"/>
      <c r="B64" s="370" t="str">
        <f ca="1">'Translation Table'!H142</f>
        <v>Loading of offshore production on tanker ships without VRU</v>
      </c>
      <c r="C64" s="371"/>
      <c r="D64" s="378" t="str">
        <f ca="1">'Translation Table'!H206</f>
        <v>Oil loaded onto tanker ship</v>
      </c>
      <c r="E64" s="379"/>
      <c r="F64" s="140">
        <f ca="1">'Setup - IPCC Assessment'!Q170</f>
        <v>0</v>
      </c>
      <c r="G64" s="151" t="s">
        <v>1153</v>
      </c>
      <c r="H64" s="150">
        <f ca="1">OFFSET('Setup - IPCC Assessment'!$L$23,(ROW('Setup - IPCC Assessment'!L22)-1)*7,0)</f>
        <v>6.5000000000000002E-2</v>
      </c>
      <c r="I64" s="150" t="str">
        <f ca="1">OFFSET('Setup - IPCC Assessment'!$L$24,(ROW('Setup - IPCC Assessment'!L22)-1)*7,0)</f>
        <v>ND</v>
      </c>
      <c r="J64" s="150" t="str">
        <f ca="1">OFFSET('Setup - IPCC Assessment'!$L$25,(ROW('Setup - IPCC Assessment'!L22)-1)*7,0)</f>
        <v>ND</v>
      </c>
      <c r="K64" s="150" t="str">
        <f ca="1">OFFSET('Setup - IPCC Assessment'!$L$26,(ROW('Setup - IPCC Assessment'!L22)-1)*7,0)</f>
        <v>ND</v>
      </c>
      <c r="L64" s="150" t="str">
        <f ca="1">OFFSET('Setup - IPCC Assessment'!$L$27,(ROW('Setup - IPCC Assessment'!L22)-1)*7,0)</f>
        <v>ND</v>
      </c>
      <c r="M64" s="150">
        <f ca="1">OFFSET('Setup - IPCC Assessment'!$L$28,(ROW('Setup - IPCC Assessment'!L22)-1)*7,0)</f>
        <v>1.1000000000000001</v>
      </c>
      <c r="N64" s="150" t="str">
        <f ca="1">OFFSET('Setup - IPCC Assessment'!$L$29,(ROW('Setup - IPCC Assessment'!L22)-1)*7,0)</f>
        <v>ND</v>
      </c>
      <c r="O64" s="196" t="s">
        <v>1180</v>
      </c>
      <c r="P64" s="140">
        <f t="shared" ca="1" si="25"/>
        <v>0</v>
      </c>
      <c r="Q64" s="140">
        <f t="shared" ca="1" si="25"/>
        <v>0</v>
      </c>
      <c r="R64" s="140">
        <f t="shared" ca="1" si="26"/>
        <v>0</v>
      </c>
      <c r="S64" s="140">
        <f t="shared" ca="1" si="26"/>
        <v>0</v>
      </c>
      <c r="T64" s="140">
        <f t="shared" ca="1" si="26"/>
        <v>0</v>
      </c>
      <c r="U64" s="140">
        <f t="shared" ca="1" si="26"/>
        <v>0</v>
      </c>
      <c r="V64" s="140">
        <f t="shared" ca="1" si="27"/>
        <v>0</v>
      </c>
    </row>
    <row r="65" spans="1:22" ht="32.15" customHeight="1" x14ac:dyDescent="0.3">
      <c r="A65" s="382"/>
      <c r="B65" s="370" t="str">
        <f ca="1">'Translation Table'!H143</f>
        <v>Loading of offshore production on tanker ships with VRU</v>
      </c>
      <c r="C65" s="371"/>
      <c r="D65" s="372" t="str">
        <f ca="1">'Translation Table'!H207</f>
        <v>Oil loaded onto tanker ship</v>
      </c>
      <c r="E65" s="373"/>
      <c r="F65" s="127">
        <f ca="1">'Setup - IPCC Assessment'!Q177</f>
        <v>0</v>
      </c>
      <c r="G65" s="250" t="s">
        <v>1153</v>
      </c>
      <c r="H65" s="249">
        <f ca="1">OFFSET('Setup - IPCC Assessment'!$L$23,(ROW('Setup - IPCC Assessment'!L23)-1)*7,0)</f>
        <v>0.04</v>
      </c>
      <c r="I65" s="249" t="str">
        <f ca="1">OFFSET('Setup - IPCC Assessment'!$L$24,(ROW('Setup - IPCC Assessment'!L23)-1)*7,0)</f>
        <v>ND</v>
      </c>
      <c r="J65" s="249" t="str">
        <f ca="1">OFFSET('Setup - IPCC Assessment'!$L$25,(ROW('Setup - IPCC Assessment'!L23)-1)*7,0)</f>
        <v>ND</v>
      </c>
      <c r="K65" s="249" t="str">
        <f ca="1">OFFSET('Setup - IPCC Assessment'!$L$26,(ROW('Setup - IPCC Assessment'!L23)-1)*7,0)</f>
        <v>ND</v>
      </c>
      <c r="L65" s="249" t="str">
        <f ca="1">OFFSET('Setup - IPCC Assessment'!$L$27,(ROW('Setup - IPCC Assessment'!L23)-1)*7,0)</f>
        <v>ND</v>
      </c>
      <c r="M65" s="249">
        <f ca="1">OFFSET('Setup - IPCC Assessment'!$L$28,(ROW('Setup - IPCC Assessment'!L23)-1)*7,0)</f>
        <v>0.16</v>
      </c>
      <c r="N65" s="249" t="str">
        <f ca="1">OFFSET('Setup - IPCC Assessment'!$L$29,(ROW('Setup - IPCC Assessment'!L23)-1)*7,0)</f>
        <v>ND</v>
      </c>
      <c r="O65" s="251" t="s">
        <v>1180</v>
      </c>
      <c r="P65" s="127">
        <f t="shared" ca="1" si="25"/>
        <v>0</v>
      </c>
      <c r="Q65" s="127">
        <f t="shared" ca="1" si="25"/>
        <v>0</v>
      </c>
      <c r="R65" s="127">
        <f t="shared" ca="1" si="26"/>
        <v>0</v>
      </c>
      <c r="S65" s="127">
        <f t="shared" ca="1" si="26"/>
        <v>0</v>
      </c>
      <c r="T65" s="127">
        <f t="shared" ca="1" si="26"/>
        <v>0</v>
      </c>
      <c r="U65" s="127">
        <f t="shared" ca="1" si="26"/>
        <v>0</v>
      </c>
      <c r="V65" s="127">
        <f t="shared" ca="1" si="27"/>
        <v>0</v>
      </c>
    </row>
    <row r="66" spans="1:22" ht="32.15" customHeight="1" x14ac:dyDescent="0.3">
      <c r="A66" s="381"/>
      <c r="B66" s="370" t="str">
        <f ca="1">'Translation Table'!H144</f>
        <v>Offshore All</v>
      </c>
      <c r="C66" s="371"/>
      <c r="D66" s="378" t="str">
        <f ca="1">'Translation Table'!H208</f>
        <v>Oil loaded onto tanker ship</v>
      </c>
      <c r="E66" s="379"/>
      <c r="F66" s="140">
        <f ca="1">'Setup - IPCC Assessment'!Q184</f>
        <v>0</v>
      </c>
      <c r="G66" s="151" t="s">
        <v>1153</v>
      </c>
      <c r="H66" s="150" t="str">
        <f ca="1">OFFSET('Setup - IPCC Assessment'!$L$23,(ROW('Setup - IPCC Assessment'!L24)-1)*7,0)</f>
        <v>NA</v>
      </c>
      <c r="I66" s="150" t="str">
        <f ca="1">OFFSET('Setup - IPCC Assessment'!$L$24,(ROW('Setup - IPCC Assessment'!L24)-1)*7,0)</f>
        <v>NA</v>
      </c>
      <c r="J66" s="150" t="str">
        <f ca="1">OFFSET('Setup - IPCC Assessment'!$L$25,(ROW('Setup - IPCC Assessment'!L24)-1)*7,0)</f>
        <v>NA</v>
      </c>
      <c r="K66" s="150" t="str">
        <f ca="1">OFFSET('Setup - IPCC Assessment'!$L$26,(ROW('Setup - IPCC Assessment'!L24)-1)*7,0)</f>
        <v>NA</v>
      </c>
      <c r="L66" s="150" t="str">
        <f ca="1">OFFSET('Setup - IPCC Assessment'!$L$27,(ROW('Setup - IPCC Assessment'!L24)-1)*7,0)</f>
        <v>NA</v>
      </c>
      <c r="M66" s="150" t="str">
        <f ca="1">OFFSET('Setup - IPCC Assessment'!$L$28,(ROW('Setup - IPCC Assessment'!L24)-1)*7,0)</f>
        <v>NA</v>
      </c>
      <c r="N66" s="150" t="str">
        <f ca="1">OFFSET('Setup - IPCC Assessment'!$L$29,(ROW('Setup - IPCC Assessment'!L24)-1)*7,0)</f>
        <v>NA</v>
      </c>
      <c r="O66" s="196" t="s">
        <v>1180</v>
      </c>
      <c r="P66" s="140">
        <f t="shared" ref="P66" ca="1" si="31">IF(OR(H66="NA",H66="ND"),0,$F66*H66)</f>
        <v>0</v>
      </c>
      <c r="Q66" s="140">
        <f t="shared" ref="Q66:U66" ca="1" si="32">IF(OR(I66="NA",I66="ND"),0,$F66*I66)</f>
        <v>0</v>
      </c>
      <c r="R66" s="140">
        <f t="shared" ca="1" si="32"/>
        <v>0</v>
      </c>
      <c r="S66" s="140">
        <f t="shared" ca="1" si="32"/>
        <v>0</v>
      </c>
      <c r="T66" s="140">
        <f t="shared" ca="1" si="32"/>
        <v>0</v>
      </c>
      <c r="U66" s="140">
        <f t="shared" ca="1" si="32"/>
        <v>0</v>
      </c>
      <c r="V66" s="140">
        <f t="shared" ref="V66" ca="1" si="33">IF(OR(N66="NA",N66="ND"),0,$F66*N66)</f>
        <v>0</v>
      </c>
    </row>
    <row r="67" spans="1:22" ht="15" customHeight="1" x14ac:dyDescent="0.3">
      <c r="A67" s="252" t="str">
        <f ca="1">'Translation Table'!H118</f>
        <v>Oil Refining</v>
      </c>
      <c r="B67" s="370" t="str">
        <f ca="1">'Translation Table'!H145</f>
        <v>All</v>
      </c>
      <c r="C67" s="371"/>
      <c r="D67" s="372" t="str">
        <f ca="1">'Translation Table'!H209</f>
        <v>Oil refined.</v>
      </c>
      <c r="E67" s="373"/>
      <c r="F67" s="127">
        <f ca="1">'Setup - IPCC Assessment'!Q191</f>
        <v>0</v>
      </c>
      <c r="G67" s="250" t="s">
        <v>1153</v>
      </c>
      <c r="H67" s="249">
        <f ca="1">OFFSET('Setup - IPCC Assessment'!$L$23,(ROW('Setup - IPCC Assessment'!L25)-1)*7,0)</f>
        <v>0.03</v>
      </c>
      <c r="I67" s="249">
        <f ca="1">OFFSET('Setup - IPCC Assessment'!$L$24,(ROW('Setup - IPCC Assessment'!L25)-1)*7,0)</f>
        <v>5.85</v>
      </c>
      <c r="J67" s="249">
        <f ca="1">OFFSET('Setup - IPCC Assessment'!$L$25,(ROW('Setup - IPCC Assessment'!L25)-1)*7,0)</f>
        <v>8.7700000000000004E-5</v>
      </c>
      <c r="K67" s="249" t="str">
        <f ca="1">OFFSET('Setup - IPCC Assessment'!$L$26,(ROW('Setup - IPCC Assessment'!L25)-1)*7,0)</f>
        <v>NA</v>
      </c>
      <c r="L67" s="249" t="str">
        <f ca="1">OFFSET('Setup - IPCC Assessment'!$L$27,(ROW('Setup - IPCC Assessment'!L25)-1)*7,0)</f>
        <v>NA</v>
      </c>
      <c r="M67" s="249">
        <f ca="1">OFFSET('Setup - IPCC Assessment'!$L$28,(ROW('Setup - IPCC Assessment'!L25)-1)*7,0)</f>
        <v>0.26</v>
      </c>
      <c r="N67" s="249" t="str">
        <f ca="1">OFFSET('Setup - IPCC Assessment'!$L$29,(ROW('Setup - IPCC Assessment'!L25)-1)*7,0)</f>
        <v>NA</v>
      </c>
      <c r="O67" s="251" t="s">
        <v>1180</v>
      </c>
      <c r="P67" s="127">
        <f t="shared" ca="1" si="25"/>
        <v>0</v>
      </c>
      <c r="Q67" s="127">
        <f t="shared" ca="1" si="25"/>
        <v>0</v>
      </c>
      <c r="R67" s="127">
        <f t="shared" ca="1" si="26"/>
        <v>0</v>
      </c>
      <c r="S67" s="127">
        <f t="shared" ca="1" si="26"/>
        <v>0</v>
      </c>
      <c r="T67" s="127">
        <f t="shared" ca="1" si="26"/>
        <v>0</v>
      </c>
      <c r="U67" s="127">
        <f t="shared" ca="1" si="26"/>
        <v>0</v>
      </c>
      <c r="V67" s="127">
        <f t="shared" ca="1" si="27"/>
        <v>0</v>
      </c>
    </row>
    <row r="68" spans="1:22" ht="15" customHeight="1" x14ac:dyDescent="0.3">
      <c r="A68" s="380" t="str">
        <f ca="1">'Translation Table'!H119</f>
        <v>Distribution of Oil Products</v>
      </c>
      <c r="B68" s="370" t="str">
        <f ca="1">'Translation Table'!H146</f>
        <v>Gasoline</v>
      </c>
      <c r="C68" s="371"/>
      <c r="D68" s="378" t="str">
        <f ca="1">'Translation Table'!H210</f>
        <v>Product consumed</v>
      </c>
      <c r="E68" s="379"/>
      <c r="F68" s="140">
        <f ca="1">'Setup - IPCC Assessment'!Q198</f>
        <v>0</v>
      </c>
      <c r="G68" s="151" t="s">
        <v>1153</v>
      </c>
      <c r="H68" s="150" t="str">
        <f ca="1">OFFSET('Setup - IPCC Assessment'!$L$23,(ROW('Setup - IPCC Assessment'!L26)-1)*7,0)</f>
        <v>NA</v>
      </c>
      <c r="I68" s="150" t="str">
        <f ca="1">OFFSET('Setup - IPCC Assessment'!$L$24,(ROW('Setup - IPCC Assessment'!L26)-1)*7,0)</f>
        <v>NA</v>
      </c>
      <c r="J68" s="150" t="str">
        <f ca="1">OFFSET('Setup - IPCC Assessment'!$L$25,(ROW('Setup - IPCC Assessment'!L26)-1)*7,0)</f>
        <v>NA</v>
      </c>
      <c r="K68" s="150" t="str">
        <f ca="1">OFFSET('Setup - IPCC Assessment'!$L$26,(ROW('Setup - IPCC Assessment'!L26)-1)*7,0)</f>
        <v>NA</v>
      </c>
      <c r="L68" s="150" t="str">
        <f ca="1">OFFSET('Setup - IPCC Assessment'!$L$27,(ROW('Setup - IPCC Assessment'!L26)-1)*7,0)</f>
        <v>NA</v>
      </c>
      <c r="M68" s="150">
        <f ca="1">OFFSET('Setup - IPCC Assessment'!$L$28,(ROW('Setup - IPCC Assessment'!L26)-1)*7,0)</f>
        <v>2.27</v>
      </c>
      <c r="N68" s="150" t="str">
        <f ca="1">OFFSET('Setup - IPCC Assessment'!$L$29,(ROW('Setup - IPCC Assessment'!L26)-1)*7,0)</f>
        <v>NA</v>
      </c>
      <c r="O68" s="196" t="s">
        <v>1180</v>
      </c>
      <c r="P68" s="140">
        <f t="shared" ca="1" si="25"/>
        <v>0</v>
      </c>
      <c r="Q68" s="140">
        <f t="shared" ca="1" si="25"/>
        <v>0</v>
      </c>
      <c r="R68" s="140">
        <f t="shared" ca="1" si="26"/>
        <v>0</v>
      </c>
      <c r="S68" s="140">
        <f t="shared" ca="1" si="26"/>
        <v>0</v>
      </c>
      <c r="T68" s="140">
        <f t="shared" ca="1" si="26"/>
        <v>0</v>
      </c>
      <c r="U68" s="140">
        <f t="shared" ca="1" si="26"/>
        <v>0</v>
      </c>
      <c r="V68" s="140">
        <f t="shared" ca="1" si="27"/>
        <v>0</v>
      </c>
    </row>
    <row r="69" spans="1:22" ht="32.15" customHeight="1" x14ac:dyDescent="0.3">
      <c r="A69" s="381"/>
      <c r="B69" s="370" t="str">
        <f ca="1">'Translation Table'!H147</f>
        <v>Other (e.g. diesel, aviation fuel, jet kerosene)</v>
      </c>
      <c r="C69" s="371"/>
      <c r="D69" s="372" t="str">
        <f ca="1">'Translation Table'!H211</f>
        <v>Product consumed</v>
      </c>
      <c r="E69" s="373"/>
      <c r="F69" s="127">
        <f ca="1">'Setup - IPCC Assessment'!Q205</f>
        <v>0</v>
      </c>
      <c r="G69" s="250" t="s">
        <v>1153</v>
      </c>
      <c r="H69" s="249" t="str">
        <f ca="1">OFFSET('Setup - IPCC Assessment'!$L$23,(ROW('Setup - IPCC Assessment'!L27)-1)*7,0)</f>
        <v>NA</v>
      </c>
      <c r="I69" s="249" t="str">
        <f ca="1">OFFSET('Setup - IPCC Assessment'!$L$24,(ROW('Setup - IPCC Assessment'!L27)-1)*7,0)</f>
        <v>NA</v>
      </c>
      <c r="J69" s="249" t="str">
        <f ca="1">OFFSET('Setup - IPCC Assessment'!$L$25,(ROW('Setup - IPCC Assessment'!L27)-1)*7,0)</f>
        <v>NA</v>
      </c>
      <c r="K69" s="249" t="str">
        <f ca="1">OFFSET('Setup - IPCC Assessment'!$L$26,(ROW('Setup - IPCC Assessment'!L27)-1)*7,0)</f>
        <v>NA</v>
      </c>
      <c r="L69" s="249" t="str">
        <f ca="1">OFFSET('Setup - IPCC Assessment'!$L$27,(ROW('Setup - IPCC Assessment'!L27)-1)*7,0)</f>
        <v>NA</v>
      </c>
      <c r="M69" s="249">
        <f ca="1">OFFSET('Setup - IPCC Assessment'!$L$28,(ROW('Setup - IPCC Assessment'!L27)-1)*7,0)</f>
        <v>0.15</v>
      </c>
      <c r="N69" s="249" t="str">
        <f ca="1">OFFSET('Setup - IPCC Assessment'!$L$29,(ROW('Setup - IPCC Assessment'!L27)-1)*7,0)</f>
        <v>NA</v>
      </c>
      <c r="O69" s="251" t="s">
        <v>1180</v>
      </c>
      <c r="P69" s="127">
        <f t="shared" ca="1" si="25"/>
        <v>0</v>
      </c>
      <c r="Q69" s="127">
        <f t="shared" ca="1" si="25"/>
        <v>0</v>
      </c>
      <c r="R69" s="127">
        <f t="shared" ca="1" si="26"/>
        <v>0</v>
      </c>
      <c r="S69" s="127">
        <f t="shared" ca="1" si="26"/>
        <v>0</v>
      </c>
      <c r="T69" s="127">
        <f t="shared" ca="1" si="26"/>
        <v>0</v>
      </c>
      <c r="U69" s="127">
        <f t="shared" ca="1" si="26"/>
        <v>0</v>
      </c>
      <c r="V69" s="127">
        <f t="shared" ca="1" si="27"/>
        <v>0</v>
      </c>
    </row>
    <row r="70" spans="1:22" ht="32.15" customHeight="1" x14ac:dyDescent="0.3">
      <c r="A70" s="253" t="str">
        <f ca="1">'Translation Table'!H120</f>
        <v>Oil Other</v>
      </c>
      <c r="B70" s="374" t="str">
        <f ca="1">'Translation Table'!H148</f>
        <v>All</v>
      </c>
      <c r="C70" s="375"/>
      <c r="D70" s="376" t="str">
        <f ca="1">'Translation Table'!H212</f>
        <v>Other</v>
      </c>
      <c r="E70" s="377"/>
      <c r="F70" s="140">
        <f>'Setup - IPCC Assessment'!Q212</f>
        <v>0</v>
      </c>
      <c r="G70" s="151" t="str">
        <f ca="1">'Setup - IPCC Assessment'!H212</f>
        <v>Well Count</v>
      </c>
      <c r="H70" s="150" t="str">
        <f ca="1">OFFSET('Setup - IPCC Assessment'!$L$23,(ROW('Setup - IPCC Assessment'!L28)-1)*7,0)</f>
        <v>NA</v>
      </c>
      <c r="I70" s="150" t="str">
        <f ca="1">OFFSET('Setup - IPCC Assessment'!$L$24,(ROW('Setup - IPCC Assessment'!L28)-1)*7,0)</f>
        <v>NA</v>
      </c>
      <c r="J70" s="150" t="str">
        <f ca="1">OFFSET('Setup - IPCC Assessment'!$L$25,(ROW('Setup - IPCC Assessment'!L28)-1)*7,0)</f>
        <v>NA</v>
      </c>
      <c r="K70" s="150" t="str">
        <f ca="1">OFFSET('Setup - IPCC Assessment'!$L$26,(ROW('Setup - IPCC Assessment'!L28)-1)*7,0)</f>
        <v>NA</v>
      </c>
      <c r="L70" s="150" t="str">
        <f ca="1">OFFSET('Setup - IPCC Assessment'!$L$27,(ROW('Setup - IPCC Assessment'!L28)-1)*7,0)</f>
        <v>NA</v>
      </c>
      <c r="M70" s="150" t="str">
        <f ca="1">OFFSET('Setup - IPCC Assessment'!$L$28,(ROW('Setup - IPCC Assessment'!L28)-1)*7,0)</f>
        <v>NA</v>
      </c>
      <c r="N70" s="150" t="str">
        <f ca="1">OFFSET('Setup - IPCC Assessment'!$L$29,(ROW('Setup - IPCC Assessment'!L28)-1)*7,0)</f>
        <v>NA</v>
      </c>
      <c r="O70" s="140" t="str">
        <f ca="1">OFFSET('Setup - IPCC Assessment'!$M$23,(ROW('Setup - IPCC Assessment'!M28)-1)*7,0)</f>
        <v>tonnes/y/well</v>
      </c>
      <c r="P70" s="140">
        <f t="shared" ca="1" si="25"/>
        <v>0</v>
      </c>
      <c r="Q70" s="140">
        <f t="shared" ca="1" si="25"/>
        <v>0</v>
      </c>
      <c r="R70" s="140">
        <f t="shared" ca="1" si="26"/>
        <v>0</v>
      </c>
      <c r="S70" s="140">
        <f t="shared" ca="1" si="26"/>
        <v>0</v>
      </c>
      <c r="T70" s="140">
        <f t="shared" ca="1" si="26"/>
        <v>0</v>
      </c>
      <c r="U70" s="140">
        <f t="shared" ca="1" si="26"/>
        <v>0</v>
      </c>
      <c r="V70" s="140">
        <f t="shared" ca="1" si="27"/>
        <v>0</v>
      </c>
    </row>
    <row r="71" spans="1:22" ht="15" customHeight="1" x14ac:dyDescent="0.3">
      <c r="A71" s="380" t="str">
        <f ca="1">'Translation Table'!H121</f>
        <v>Abandoned Oil Wells</v>
      </c>
      <c r="B71" s="370" t="str">
        <f ca="1">'Translation Table'!H149</f>
        <v>Onshore: Plugged</v>
      </c>
      <c r="C71" s="371"/>
      <c r="D71" s="372" t="str">
        <f ca="1">'Translation Table'!H213</f>
        <v>Onshore plugged abandoned well</v>
      </c>
      <c r="E71" s="373"/>
      <c r="F71" s="127">
        <f>'Setup - IPCC Assessment'!Q219</f>
        <v>0</v>
      </c>
      <c r="G71" s="255" t="str">
        <f ca="1">'Setup - IPCC Assessment'!H219</f>
        <v>Well Count</v>
      </c>
      <c r="H71" s="249">
        <f ca="1">OFFSET('Setup - IPCC Assessment'!$L$23,(ROW('Setup - IPCC Assessment'!L29)-1)*7,0)</f>
        <v>2.0000000000000002E-5</v>
      </c>
      <c r="I71" s="249" t="str">
        <f ca="1">OFFSET('Setup - IPCC Assessment'!$L$24,(ROW('Setup - IPCC Assessment'!L29)-1)*7,0)</f>
        <v>NA</v>
      </c>
      <c r="J71" s="249" t="str">
        <f ca="1">OFFSET('Setup - IPCC Assessment'!$L$25,(ROW('Setup - IPCC Assessment'!L29)-1)*7,0)</f>
        <v>NA</v>
      </c>
      <c r="K71" s="249" t="str">
        <f ca="1">OFFSET('Setup - IPCC Assessment'!$L$26,(ROW('Setup - IPCC Assessment'!L29)-1)*7,0)</f>
        <v>NA</v>
      </c>
      <c r="L71" s="249" t="str">
        <f ca="1">OFFSET('Setup - IPCC Assessment'!$L$27,(ROW('Setup - IPCC Assessment'!L29)-1)*7,0)</f>
        <v>NA</v>
      </c>
      <c r="M71" s="249" t="str">
        <f ca="1">OFFSET('Setup - IPCC Assessment'!$L$28,(ROW('Setup - IPCC Assessment'!L29)-1)*7,0)</f>
        <v>NA</v>
      </c>
      <c r="N71" s="249" t="str">
        <f ca="1">OFFSET('Setup - IPCC Assessment'!$L$29,(ROW('Setup - IPCC Assessment'!L29)-1)*7,0)</f>
        <v>NA</v>
      </c>
      <c r="O71" s="127" t="str">
        <f ca="1">OFFSET('Setup - IPCC Assessment'!$M$23,(ROW('Setup - IPCC Assessment'!M29)-1)*7,0)</f>
        <v>tonnes/y/well</v>
      </c>
      <c r="P71" s="127">
        <f t="shared" ca="1" si="25"/>
        <v>0</v>
      </c>
      <c r="Q71" s="127">
        <f t="shared" ca="1" si="25"/>
        <v>0</v>
      </c>
      <c r="R71" s="127">
        <f t="shared" ca="1" si="26"/>
        <v>0</v>
      </c>
      <c r="S71" s="127">
        <f t="shared" ca="1" si="26"/>
        <v>0</v>
      </c>
      <c r="T71" s="127">
        <f t="shared" ca="1" si="26"/>
        <v>0</v>
      </c>
      <c r="U71" s="127">
        <f t="shared" ca="1" si="26"/>
        <v>0</v>
      </c>
      <c r="V71" s="127">
        <f t="shared" ca="1" si="27"/>
        <v>0</v>
      </c>
    </row>
    <row r="72" spans="1:22" ht="15" customHeight="1" x14ac:dyDescent="0.3">
      <c r="A72" s="382"/>
      <c r="B72" s="370" t="str">
        <f ca="1">'Translation Table'!H150</f>
        <v>Onshore: Unplugged</v>
      </c>
      <c r="C72" s="371"/>
      <c r="D72" s="378" t="str">
        <f ca="1">'Translation Table'!H214</f>
        <v>Onshore unplugged abandoned well</v>
      </c>
      <c r="E72" s="379"/>
      <c r="F72" s="140">
        <f>'Setup - IPCC Assessment'!Q226</f>
        <v>0</v>
      </c>
      <c r="G72" s="152" t="str">
        <f ca="1">'Setup - IPCC Assessment'!H226</f>
        <v>Well Count</v>
      </c>
      <c r="H72" s="150">
        <f ca="1">OFFSET('Setup - IPCC Assessment'!$L$23,(ROW('Setup - IPCC Assessment'!L30)-1)*7,0)</f>
        <v>8.7999999999999995E-2</v>
      </c>
      <c r="I72" s="150" t="str">
        <f ca="1">OFFSET('Setup - IPCC Assessment'!$L$24,(ROW('Setup - IPCC Assessment'!L30)-1)*7,0)</f>
        <v>NA</v>
      </c>
      <c r="J72" s="150" t="str">
        <f ca="1">OFFSET('Setup - IPCC Assessment'!$L$25,(ROW('Setup - IPCC Assessment'!L30)-1)*7,0)</f>
        <v>NA</v>
      </c>
      <c r="K72" s="150" t="str">
        <f ca="1">OFFSET('Setup - IPCC Assessment'!$L$26,(ROW('Setup - IPCC Assessment'!L30)-1)*7,0)</f>
        <v>NA</v>
      </c>
      <c r="L72" s="150" t="str">
        <f ca="1">OFFSET('Setup - IPCC Assessment'!$L$27,(ROW('Setup - IPCC Assessment'!L30)-1)*7,0)</f>
        <v>NA</v>
      </c>
      <c r="M72" s="150" t="str">
        <f ca="1">OFFSET('Setup - IPCC Assessment'!$L$28,(ROW('Setup - IPCC Assessment'!L30)-1)*7,0)</f>
        <v>NA</v>
      </c>
      <c r="N72" s="150" t="str">
        <f ca="1">OFFSET('Setup - IPCC Assessment'!$L$29,(ROW('Setup - IPCC Assessment'!L30)-1)*7,0)</f>
        <v>NA</v>
      </c>
      <c r="O72" s="140" t="str">
        <f ca="1">OFFSET('Setup - IPCC Assessment'!$M$23,(ROW('Setup - IPCC Assessment'!M30)-1)*7,0)</f>
        <v>tonnes/y/well</v>
      </c>
      <c r="P72" s="140">
        <f t="shared" ca="1" si="25"/>
        <v>0</v>
      </c>
      <c r="Q72" s="140">
        <f t="shared" ca="1" si="25"/>
        <v>0</v>
      </c>
      <c r="R72" s="140">
        <f t="shared" ca="1" si="26"/>
        <v>0</v>
      </c>
      <c r="S72" s="140">
        <f t="shared" ca="1" si="26"/>
        <v>0</v>
      </c>
      <c r="T72" s="140">
        <f t="shared" ca="1" si="26"/>
        <v>0</v>
      </c>
      <c r="U72" s="140">
        <f t="shared" ca="1" si="26"/>
        <v>0</v>
      </c>
      <c r="V72" s="140">
        <f t="shared" ca="1" si="27"/>
        <v>0</v>
      </c>
    </row>
    <row r="73" spans="1:22" ht="32.15" customHeight="1" x14ac:dyDescent="0.3">
      <c r="A73" s="382"/>
      <c r="B73" s="370" t="str">
        <f ca="1">'Translation Table'!H151</f>
        <v>Onshore: All wells (plugged and unplugged)</v>
      </c>
      <c r="C73" s="371"/>
      <c r="D73" s="372" t="str">
        <f ca="1">'Translation Table'!H215</f>
        <v>Onshore abandoned well</v>
      </c>
      <c r="E73" s="373"/>
      <c r="F73" s="127">
        <f>'Setup - IPCC Assessment'!Q233</f>
        <v>0</v>
      </c>
      <c r="G73" s="255" t="str">
        <f ca="1">'Setup - IPCC Assessment'!H233</f>
        <v>Well Count</v>
      </c>
      <c r="H73" s="249">
        <f ca="1">OFFSET('Setup - IPCC Assessment'!$L$23,(ROW('Setup - IPCC Assessment'!L31)-1)*7,0)</f>
        <v>1.2E-2</v>
      </c>
      <c r="I73" s="249" t="str">
        <f ca="1">OFFSET('Setup - IPCC Assessment'!$L$24,(ROW('Setup - IPCC Assessment'!L31)-1)*7,0)</f>
        <v>NA</v>
      </c>
      <c r="J73" s="249" t="str">
        <f ca="1">OFFSET('Setup - IPCC Assessment'!$L$25,(ROW('Setup - IPCC Assessment'!L31)-1)*7,0)</f>
        <v>NA</v>
      </c>
      <c r="K73" s="249" t="str">
        <f ca="1">OFFSET('Setup - IPCC Assessment'!$L$26,(ROW('Setup - IPCC Assessment'!L31)-1)*7,0)</f>
        <v>NA</v>
      </c>
      <c r="L73" s="249" t="str">
        <f ca="1">OFFSET('Setup - IPCC Assessment'!$L$27,(ROW('Setup - IPCC Assessment'!L31)-1)*7,0)</f>
        <v>NA</v>
      </c>
      <c r="M73" s="249" t="str">
        <f ca="1">OFFSET('Setup - IPCC Assessment'!$L$28,(ROW('Setup - IPCC Assessment'!L31)-1)*7,0)</f>
        <v>NA</v>
      </c>
      <c r="N73" s="249" t="str">
        <f ca="1">OFFSET('Setup - IPCC Assessment'!$L$29,(ROW('Setup - IPCC Assessment'!L31)-1)*7,0)</f>
        <v>NA</v>
      </c>
      <c r="O73" s="127" t="str">
        <f ca="1">OFFSET('Setup - IPCC Assessment'!$M$23,(ROW('Setup - IPCC Assessment'!M31)-1)*7,0)</f>
        <v>tonnes/y/well</v>
      </c>
      <c r="P73" s="127">
        <f t="shared" ca="1" si="25"/>
        <v>0</v>
      </c>
      <c r="Q73" s="127">
        <f t="shared" ca="1" si="25"/>
        <v>0</v>
      </c>
      <c r="R73" s="127">
        <f t="shared" ca="1" si="26"/>
        <v>0</v>
      </c>
      <c r="S73" s="127">
        <f t="shared" ca="1" si="26"/>
        <v>0</v>
      </c>
      <c r="T73" s="127">
        <f t="shared" ca="1" si="26"/>
        <v>0</v>
      </c>
      <c r="U73" s="127">
        <f t="shared" ca="1" si="26"/>
        <v>0</v>
      </c>
      <c r="V73" s="127">
        <f t="shared" ca="1" si="27"/>
        <v>0</v>
      </c>
    </row>
    <row r="74" spans="1:22" ht="15" customHeight="1" x14ac:dyDescent="0.3">
      <c r="A74" s="382"/>
      <c r="B74" s="370" t="str">
        <f ca="1">'Translation Table'!H152</f>
        <v>Offshore: Plugged</v>
      </c>
      <c r="C74" s="371"/>
      <c r="D74" s="378" t="str">
        <f ca="1">'Translation Table'!H217</f>
        <v>Offshore plugged abandoned well</v>
      </c>
      <c r="E74" s="379"/>
      <c r="F74" s="140">
        <f>'Setup - IPCC Assessment'!Q240</f>
        <v>0</v>
      </c>
      <c r="G74" s="152" t="str">
        <f ca="1">'Setup - IPCC Assessment'!H240</f>
        <v>Well Count</v>
      </c>
      <c r="H74" s="150">
        <f ca="1">OFFSET('Setup - IPCC Assessment'!$L$23,(ROW('Setup - IPCC Assessment'!L32)-1)*7,0)</f>
        <v>3.4999999999999998E-7</v>
      </c>
      <c r="I74" s="150" t="str">
        <f ca="1">OFFSET('Setup - IPCC Assessment'!$L$24,(ROW('Setup - IPCC Assessment'!L32)-1)*7,0)</f>
        <v>NA</v>
      </c>
      <c r="J74" s="150" t="str">
        <f ca="1">OFFSET('Setup - IPCC Assessment'!$L$25,(ROW('Setup - IPCC Assessment'!L32)-1)*7,0)</f>
        <v>NA</v>
      </c>
      <c r="K74" s="150" t="str">
        <f ca="1">OFFSET('Setup - IPCC Assessment'!$L$26,(ROW('Setup - IPCC Assessment'!L32)-1)*7,0)</f>
        <v>NA</v>
      </c>
      <c r="L74" s="150" t="str">
        <f ca="1">OFFSET('Setup - IPCC Assessment'!$L$27,(ROW('Setup - IPCC Assessment'!L32)-1)*7,0)</f>
        <v>NA</v>
      </c>
      <c r="M74" s="150" t="str">
        <f ca="1">OFFSET('Setup - IPCC Assessment'!$L$28,(ROW('Setup - IPCC Assessment'!L32)-1)*7,0)</f>
        <v>NA</v>
      </c>
      <c r="N74" s="150" t="str">
        <f ca="1">OFFSET('Setup - IPCC Assessment'!$L$29,(ROW('Setup - IPCC Assessment'!L32)-1)*7,0)</f>
        <v>NA</v>
      </c>
      <c r="O74" s="140" t="str">
        <f ca="1">OFFSET('Setup - IPCC Assessment'!$M$23,(ROW('Setup - IPCC Assessment'!M32)-1)*7,0)</f>
        <v>tonnes/y/well</v>
      </c>
      <c r="P74" s="140">
        <f t="shared" ca="1" si="25"/>
        <v>0</v>
      </c>
      <c r="Q74" s="140">
        <f t="shared" ca="1" si="25"/>
        <v>0</v>
      </c>
      <c r="R74" s="140">
        <f t="shared" ca="1" si="26"/>
        <v>0</v>
      </c>
      <c r="S74" s="140">
        <f t="shared" ca="1" si="26"/>
        <v>0</v>
      </c>
      <c r="T74" s="140">
        <f t="shared" ca="1" si="26"/>
        <v>0</v>
      </c>
      <c r="U74" s="140">
        <f t="shared" ca="1" si="26"/>
        <v>0</v>
      </c>
      <c r="V74" s="140">
        <f t="shared" ca="1" si="27"/>
        <v>0</v>
      </c>
    </row>
    <row r="75" spans="1:22" ht="15" customHeight="1" x14ac:dyDescent="0.3">
      <c r="A75" s="382"/>
      <c r="B75" s="370" t="str">
        <f ca="1">'Translation Table'!H153</f>
        <v>Offshore: Unplugged</v>
      </c>
      <c r="C75" s="371"/>
      <c r="D75" s="372" t="str">
        <f ca="1">'Translation Table'!H218</f>
        <v>Offshore unplugged abandoned well</v>
      </c>
      <c r="E75" s="373"/>
      <c r="F75" s="127">
        <f>'Setup - IPCC Assessment'!Q247</f>
        <v>0</v>
      </c>
      <c r="G75" s="255" t="str">
        <f ca="1">'Setup - IPCC Assessment'!H247</f>
        <v>Well Count</v>
      </c>
      <c r="H75" s="249">
        <f ca="1">OFFSET('Setup - IPCC Assessment'!$L$23,(ROW('Setup - IPCC Assessment'!L33)-1)*7,0)</f>
        <v>1.8E-3</v>
      </c>
      <c r="I75" s="249" t="str">
        <f ca="1">OFFSET('Setup - IPCC Assessment'!$L$24,(ROW('Setup - IPCC Assessment'!L33)-1)*7,0)</f>
        <v>NA</v>
      </c>
      <c r="J75" s="249" t="str">
        <f ca="1">OFFSET('Setup - IPCC Assessment'!$L$25,(ROW('Setup - IPCC Assessment'!L33)-1)*7,0)</f>
        <v>NA</v>
      </c>
      <c r="K75" s="249" t="str">
        <f ca="1">OFFSET('Setup - IPCC Assessment'!$L$26,(ROW('Setup - IPCC Assessment'!L33)-1)*7,0)</f>
        <v>NA</v>
      </c>
      <c r="L75" s="249" t="str">
        <f ca="1">OFFSET('Setup - IPCC Assessment'!$L$27,(ROW('Setup - IPCC Assessment'!L33)-1)*7,0)</f>
        <v>NA</v>
      </c>
      <c r="M75" s="249" t="str">
        <f ca="1">OFFSET('Setup - IPCC Assessment'!$L$28,(ROW('Setup - IPCC Assessment'!L33)-1)*7,0)</f>
        <v>NA</v>
      </c>
      <c r="N75" s="249" t="str">
        <f ca="1">OFFSET('Setup - IPCC Assessment'!$L$29,(ROW('Setup - IPCC Assessment'!L33)-1)*7,0)</f>
        <v>NA</v>
      </c>
      <c r="O75" s="127" t="str">
        <f ca="1">OFFSET('Setup - IPCC Assessment'!$M$23,(ROW('Setup - IPCC Assessment'!M33)-1)*7,0)</f>
        <v>tonnes/y/well</v>
      </c>
      <c r="P75" s="127">
        <f t="shared" ca="1" si="25"/>
        <v>0</v>
      </c>
      <c r="Q75" s="127">
        <f t="shared" ca="1" si="25"/>
        <v>0</v>
      </c>
      <c r="R75" s="127">
        <f t="shared" ca="1" si="26"/>
        <v>0</v>
      </c>
      <c r="S75" s="127">
        <f t="shared" ca="1" si="26"/>
        <v>0</v>
      </c>
      <c r="T75" s="127">
        <f t="shared" ca="1" si="26"/>
        <v>0</v>
      </c>
      <c r="U75" s="127">
        <f t="shared" ca="1" si="26"/>
        <v>0</v>
      </c>
      <c r="V75" s="127">
        <f t="shared" ca="1" si="27"/>
        <v>0</v>
      </c>
    </row>
    <row r="76" spans="1:22" ht="32.15" customHeight="1" x14ac:dyDescent="0.3">
      <c r="A76" s="381"/>
      <c r="B76" s="370" t="str">
        <f ca="1">'Translation Table'!H154</f>
        <v>Offshore: All wells (plugged and unplugged)</v>
      </c>
      <c r="C76" s="371"/>
      <c r="D76" s="378" t="str">
        <f ca="1">'Translation Table'!H219</f>
        <v>Offshore abandoned well</v>
      </c>
      <c r="E76" s="379"/>
      <c r="F76" s="140">
        <f>'Setup - IPCC Assessment'!Q254</f>
        <v>0</v>
      </c>
      <c r="G76" s="152" t="str">
        <f ca="1">'Setup - IPCC Assessment'!H254</f>
        <v>Well Count</v>
      </c>
      <c r="H76" s="150">
        <f ca="1">OFFSET('Setup - IPCC Assessment'!$L$23,(ROW('Setup - IPCC Assessment'!L34)-1)*7,0)</f>
        <v>2.4000000000000001E-4</v>
      </c>
      <c r="I76" s="150" t="str">
        <f ca="1">OFFSET('Setup - IPCC Assessment'!$L$24,(ROW('Setup - IPCC Assessment'!L34)-1)*7,0)</f>
        <v>NA</v>
      </c>
      <c r="J76" s="150" t="str">
        <f ca="1">OFFSET('Setup - IPCC Assessment'!$L$25,(ROW('Setup - IPCC Assessment'!L34)-1)*7,0)</f>
        <v>NA</v>
      </c>
      <c r="K76" s="150" t="str">
        <f ca="1">OFFSET('Setup - IPCC Assessment'!$L$26,(ROW('Setup - IPCC Assessment'!L34)-1)*7,0)</f>
        <v>NA</v>
      </c>
      <c r="L76" s="150" t="str">
        <f ca="1">OFFSET('Setup - IPCC Assessment'!$L$27,(ROW('Setup - IPCC Assessment'!L34)-1)*7,0)</f>
        <v>NA</v>
      </c>
      <c r="M76" s="150" t="str">
        <f ca="1">OFFSET('Setup - IPCC Assessment'!$L$28,(ROW('Setup - IPCC Assessment'!L34)-1)*7,0)</f>
        <v>NA</v>
      </c>
      <c r="N76" s="150" t="str">
        <f ca="1">OFFSET('Setup - IPCC Assessment'!$L$29,(ROW('Setup - IPCC Assessment'!L34)-1)*7,0)</f>
        <v>NA</v>
      </c>
      <c r="O76" s="140" t="str">
        <f ca="1">OFFSET('Setup - IPCC Assessment'!$M$23,(ROW('Setup - IPCC Assessment'!M34)-1)*7,0)</f>
        <v>tonnes/y/well</v>
      </c>
      <c r="P76" s="140">
        <f t="shared" ca="1" si="25"/>
        <v>0</v>
      </c>
      <c r="Q76" s="140">
        <f t="shared" ca="1" si="25"/>
        <v>0</v>
      </c>
      <c r="R76" s="140">
        <f t="shared" ca="1" si="26"/>
        <v>0</v>
      </c>
      <c r="S76" s="140">
        <f t="shared" ca="1" si="26"/>
        <v>0</v>
      </c>
      <c r="T76" s="140">
        <f t="shared" ca="1" si="26"/>
        <v>0</v>
      </c>
      <c r="U76" s="140">
        <f t="shared" ca="1" si="26"/>
        <v>0</v>
      </c>
      <c r="V76" s="140">
        <f t="shared" ca="1" si="27"/>
        <v>0</v>
      </c>
    </row>
    <row r="77" spans="1:22" ht="32.15" customHeight="1" x14ac:dyDescent="0.3">
      <c r="A77" s="380" t="str">
        <f ca="1">'Translation Table'!H122</f>
        <v>Gas Exploration</v>
      </c>
      <c r="B77" s="383" t="str">
        <f ca="1">'Translation Table'!H155</f>
        <v>Onshore unconventional gas exploration without flaring or gas capture</v>
      </c>
      <c r="C77" s="384"/>
      <c r="D77" s="372" t="str">
        <f ca="1">'Translation Table'!H220</f>
        <v>Unconventional onshore gas wells drilled in a year, without flaring or recovery</v>
      </c>
      <c r="E77" s="373"/>
      <c r="F77" s="127">
        <f>'Setup - IPCC Assessment'!Q261</f>
        <v>0</v>
      </c>
      <c r="G77" s="255" t="str">
        <f ca="1">'Setup - IPCC Assessment'!H261</f>
        <v>Well Count</v>
      </c>
      <c r="H77" s="249">
        <f ca="1">OFFSET('Setup - IPCC Assessment'!$L$23,(ROW('Setup - IPCC Assessment'!L35)-1)*7,0)</f>
        <v>20.100000000000001</v>
      </c>
      <c r="I77" s="249">
        <f ca="1">OFFSET('Setup - IPCC Assessment'!$L$24,(ROW('Setup - IPCC Assessment'!L35)-1)*7,0)</f>
        <v>1.5</v>
      </c>
      <c r="J77" s="249" t="str">
        <f ca="1">OFFSET('Setup - IPCC Assessment'!$L$25,(ROW('Setup - IPCC Assessment'!L35)-1)*7,0)</f>
        <v>NA</v>
      </c>
      <c r="K77" s="249" t="str">
        <f ca="1">OFFSET('Setup - IPCC Assessment'!$L$26,(ROW('Setup - IPCC Assessment'!L35)-1)*7,0)</f>
        <v>NA</v>
      </c>
      <c r="L77" s="249" t="str">
        <f ca="1">OFFSET('Setup - IPCC Assessment'!$L$27,(ROW('Setup - IPCC Assessment'!L35)-1)*7,0)</f>
        <v>NA</v>
      </c>
      <c r="M77" s="249">
        <f ca="1">OFFSET('Setup - IPCC Assessment'!$L$28,(ROW('Setup - IPCC Assessment'!L35)-1)*7,0)</f>
        <v>3.01</v>
      </c>
      <c r="N77" s="249" t="str">
        <f ca="1">OFFSET('Setup - IPCC Assessment'!$L$29,(ROW('Setup - IPCC Assessment'!L35)-1)*7,0)</f>
        <v>NA</v>
      </c>
      <c r="O77" s="127" t="str">
        <f ca="1">OFFSET('Setup - IPCC Assessment'!$M$23,(ROW('Setup - IPCC Assessment'!M35)-1)*7,0)</f>
        <v>tonnes/y/well</v>
      </c>
      <c r="P77" s="127">
        <f t="shared" ca="1" si="25"/>
        <v>0</v>
      </c>
      <c r="Q77" s="127">
        <f t="shared" ca="1" si="25"/>
        <v>0</v>
      </c>
      <c r="R77" s="127">
        <f t="shared" ca="1" si="26"/>
        <v>0</v>
      </c>
      <c r="S77" s="127">
        <f t="shared" ca="1" si="26"/>
        <v>0</v>
      </c>
      <c r="T77" s="127">
        <f t="shared" ca="1" si="26"/>
        <v>0</v>
      </c>
      <c r="U77" s="127">
        <f t="shared" ca="1" si="26"/>
        <v>0</v>
      </c>
      <c r="V77" s="127">
        <f t="shared" ca="1" si="27"/>
        <v>0</v>
      </c>
    </row>
    <row r="78" spans="1:22" ht="32.15" customHeight="1" x14ac:dyDescent="0.3">
      <c r="A78" s="382"/>
      <c r="B78" s="385"/>
      <c r="C78" s="386"/>
      <c r="D78" s="378" t="str">
        <f ca="1">'Translation Table'!H221</f>
        <v>Total unconventional onshore gas well population where exploration occurs without flaring or recovery</v>
      </c>
      <c r="E78" s="379"/>
      <c r="F78" s="140">
        <f>'Setup - IPCC Assessment'!Q268</f>
        <v>0</v>
      </c>
      <c r="G78" s="152" t="str">
        <f ca="1">'Setup - IPCC Assessment'!H268</f>
        <v>Well Count</v>
      </c>
      <c r="H78" s="150">
        <f ca="1">OFFSET('Setup - IPCC Assessment'!$L$23,(ROW('Setup - IPCC Assessment'!L36)-1)*7,0)</f>
        <v>4.3499999999999996</v>
      </c>
      <c r="I78" s="150">
        <f ca="1">OFFSET('Setup - IPCC Assessment'!$L$24,(ROW('Setup - IPCC Assessment'!L36)-1)*7,0)</f>
        <v>0.32</v>
      </c>
      <c r="J78" s="150" t="str">
        <f ca="1">OFFSET('Setup - IPCC Assessment'!$L$25,(ROW('Setup - IPCC Assessment'!L36)-1)*7,0)</f>
        <v>NA</v>
      </c>
      <c r="K78" s="150" t="str">
        <f ca="1">OFFSET('Setup - IPCC Assessment'!$L$26,(ROW('Setup - IPCC Assessment'!L36)-1)*7,0)</f>
        <v>NA</v>
      </c>
      <c r="L78" s="150" t="str">
        <f ca="1">OFFSET('Setup - IPCC Assessment'!$L$27,(ROW('Setup - IPCC Assessment'!L36)-1)*7,0)</f>
        <v>NA</v>
      </c>
      <c r="M78" s="150">
        <f ca="1">OFFSET('Setup - IPCC Assessment'!$L$28,(ROW('Setup - IPCC Assessment'!L36)-1)*7,0)</f>
        <v>0.65</v>
      </c>
      <c r="N78" s="150" t="str">
        <f ca="1">OFFSET('Setup - IPCC Assessment'!$L$29,(ROW('Setup - IPCC Assessment'!L36)-1)*7,0)</f>
        <v>NA</v>
      </c>
      <c r="O78" s="140" t="str">
        <f ca="1">OFFSET('Setup - IPCC Assessment'!$M$23,(ROW('Setup - IPCC Assessment'!M36)-1)*7,0)</f>
        <v>tonnes/y/well</v>
      </c>
      <c r="P78" s="140">
        <f t="shared" ca="1" si="25"/>
        <v>0</v>
      </c>
      <c r="Q78" s="140">
        <f t="shared" ca="1" si="25"/>
        <v>0</v>
      </c>
      <c r="R78" s="140">
        <f t="shared" ca="1" si="26"/>
        <v>0</v>
      </c>
      <c r="S78" s="140">
        <f t="shared" ca="1" si="26"/>
        <v>0</v>
      </c>
      <c r="T78" s="140">
        <f t="shared" ca="1" si="26"/>
        <v>0</v>
      </c>
      <c r="U78" s="140">
        <f t="shared" ca="1" si="26"/>
        <v>0</v>
      </c>
      <c r="V78" s="140">
        <f t="shared" ca="1" si="27"/>
        <v>0</v>
      </c>
    </row>
    <row r="79" spans="1:22" ht="32.15" customHeight="1" x14ac:dyDescent="0.3">
      <c r="A79" s="382"/>
      <c r="B79" s="387"/>
      <c r="C79" s="388"/>
      <c r="D79" s="372" t="str">
        <f ca="1">'Translation Table'!H222</f>
        <v>Onshore unconventional onshore gas production where exploration occurs without flaring or recovery</v>
      </c>
      <c r="E79" s="373"/>
      <c r="F79" s="127">
        <f ca="1">'Setup - IPCC Assessment'!Q275/1000</f>
        <v>0</v>
      </c>
      <c r="G79" s="250" t="s">
        <v>1154</v>
      </c>
      <c r="H79" s="249">
        <f ca="1">OFFSET('Setup - IPCC Assessment'!$L$23,(ROW('Setup - IPCC Assessment'!L37)-1)*7,0)</f>
        <v>2.52</v>
      </c>
      <c r="I79" s="249">
        <f ca="1">OFFSET('Setup - IPCC Assessment'!$L$24,(ROW('Setup - IPCC Assessment'!L37)-1)*7,0)</f>
        <v>0.19</v>
      </c>
      <c r="J79" s="249" t="str">
        <f ca="1">OFFSET('Setup - IPCC Assessment'!$L$25,(ROW('Setup - IPCC Assessment'!L37)-1)*7,0)</f>
        <v>NA</v>
      </c>
      <c r="K79" s="249" t="str">
        <f ca="1">OFFSET('Setup - IPCC Assessment'!$L$26,(ROW('Setup - IPCC Assessment'!L37)-1)*7,0)</f>
        <v>NA</v>
      </c>
      <c r="L79" s="249" t="str">
        <f ca="1">OFFSET('Setup - IPCC Assessment'!$L$27,(ROW('Setup - IPCC Assessment'!L37)-1)*7,0)</f>
        <v>NA</v>
      </c>
      <c r="M79" s="249">
        <f ca="1">OFFSET('Setup - IPCC Assessment'!$L$28,(ROW('Setup - IPCC Assessment'!L37)-1)*7,0)</f>
        <v>0.38</v>
      </c>
      <c r="N79" s="249" t="str">
        <f ca="1">OFFSET('Setup - IPCC Assessment'!$L$29,(ROW('Setup - IPCC Assessment'!L37)-1)*7,0)</f>
        <v>NA</v>
      </c>
      <c r="O79" s="251" t="s">
        <v>1181</v>
      </c>
      <c r="P79" s="127">
        <f t="shared" ca="1" si="25"/>
        <v>0</v>
      </c>
      <c r="Q79" s="127">
        <f t="shared" ca="1" si="25"/>
        <v>0</v>
      </c>
      <c r="R79" s="127">
        <f t="shared" ca="1" si="26"/>
        <v>0</v>
      </c>
      <c r="S79" s="127">
        <f t="shared" ca="1" si="26"/>
        <v>0</v>
      </c>
      <c r="T79" s="127">
        <f t="shared" ca="1" si="26"/>
        <v>0</v>
      </c>
      <c r="U79" s="127">
        <f t="shared" ca="1" si="26"/>
        <v>0</v>
      </c>
      <c r="V79" s="127">
        <f t="shared" ca="1" si="27"/>
        <v>0</v>
      </c>
    </row>
    <row r="80" spans="1:22" ht="32.15" customHeight="1" x14ac:dyDescent="0.3">
      <c r="A80" s="382"/>
      <c r="B80" s="383" t="str">
        <f ca="1">'Translation Table'!H156</f>
        <v>Onshore unconventional gas exploration with flaring or gas capture</v>
      </c>
      <c r="C80" s="384"/>
      <c r="D80" s="378" t="str">
        <f ca="1">'Translation Table'!H223</f>
        <v>Unconventional onshore gas wells drilled in a year, with flaring or recovery</v>
      </c>
      <c r="E80" s="379"/>
      <c r="F80" s="140">
        <f>'Setup - IPCC Assessment'!Q282</f>
        <v>0</v>
      </c>
      <c r="G80" s="152" t="str">
        <f ca="1">'Setup - IPCC Assessment'!H282</f>
        <v>Well Count</v>
      </c>
      <c r="H80" s="150">
        <f ca="1">OFFSET('Setup - IPCC Assessment'!$L$23,(ROW('Setup - IPCC Assessment'!L38)-1)*7,0)</f>
        <v>1.3</v>
      </c>
      <c r="I80" s="150">
        <f ca="1">OFFSET('Setup - IPCC Assessment'!$L$24,(ROW('Setup - IPCC Assessment'!L38)-1)*7,0)</f>
        <v>47</v>
      </c>
      <c r="J80" s="150">
        <f ca="1">OFFSET('Setup - IPCC Assessment'!$L$25,(ROW('Setup - IPCC Assessment'!L38)-1)*7,0)</f>
        <v>3.4000000000000002E-4</v>
      </c>
      <c r="K80" s="150" t="str">
        <f ca="1">OFFSET('Setup - IPCC Assessment'!$L$26,(ROW('Setup - IPCC Assessment'!L38)-1)*7,0)</f>
        <v>NA</v>
      </c>
      <c r="L80" s="150" t="str">
        <f ca="1">OFFSET('Setup - IPCC Assessment'!$L$27,(ROW('Setup - IPCC Assessment'!L38)-1)*7,0)</f>
        <v>NA</v>
      </c>
      <c r="M80" s="150">
        <f ca="1">OFFSET('Setup - IPCC Assessment'!$L$28,(ROW('Setup - IPCC Assessment'!L38)-1)*7,0)</f>
        <v>0.19</v>
      </c>
      <c r="N80" s="150" t="str">
        <f ca="1">OFFSET('Setup - IPCC Assessment'!$L$29,(ROW('Setup - IPCC Assessment'!L38)-1)*7,0)</f>
        <v>NA</v>
      </c>
      <c r="O80" s="140" t="str">
        <f ca="1">OFFSET('Setup - IPCC Assessment'!$M$23,(ROW('Setup - IPCC Assessment'!M38)-1)*7,0)</f>
        <v>tonnes/y/well</v>
      </c>
      <c r="P80" s="140">
        <f t="shared" ca="1" si="25"/>
        <v>0</v>
      </c>
      <c r="Q80" s="140">
        <f t="shared" ca="1" si="25"/>
        <v>0</v>
      </c>
      <c r="R80" s="140">
        <f t="shared" ca="1" si="26"/>
        <v>0</v>
      </c>
      <c r="S80" s="140">
        <f t="shared" ca="1" si="26"/>
        <v>0</v>
      </c>
      <c r="T80" s="140">
        <f t="shared" ca="1" si="26"/>
        <v>0</v>
      </c>
      <c r="U80" s="140">
        <f t="shared" ca="1" si="26"/>
        <v>0</v>
      </c>
      <c r="V80" s="140">
        <f t="shared" ca="1" si="27"/>
        <v>0</v>
      </c>
    </row>
    <row r="81" spans="1:22" ht="32.15" customHeight="1" x14ac:dyDescent="0.3">
      <c r="A81" s="382"/>
      <c r="B81" s="385"/>
      <c r="C81" s="386"/>
      <c r="D81" s="372" t="str">
        <f ca="1">'Translation Table'!H224</f>
        <v>Total unconventional onshore gas well population where exploration occurs with flaring or recovery</v>
      </c>
      <c r="E81" s="373"/>
      <c r="F81" s="127">
        <f>'Setup - IPCC Assessment'!Q289</f>
        <v>0</v>
      </c>
      <c r="G81" s="255" t="str">
        <f ca="1">'Setup - IPCC Assessment'!H289</f>
        <v>Well Count</v>
      </c>
      <c r="H81" s="249">
        <f ca="1">OFFSET('Setup - IPCC Assessment'!$L$23,(ROW('Setup - IPCC Assessment'!L39)-1)*7,0)</f>
        <v>0.05</v>
      </c>
      <c r="I81" s="249">
        <f ca="1">OFFSET('Setup - IPCC Assessment'!$L$24,(ROW('Setup - IPCC Assessment'!L39)-1)*7,0)</f>
        <v>1.93</v>
      </c>
      <c r="J81" s="249">
        <f ca="1">OFFSET('Setup - IPCC Assessment'!$L$25,(ROW('Setup - IPCC Assessment'!L39)-1)*7,0)</f>
        <v>1.4E-5</v>
      </c>
      <c r="K81" s="249" t="str">
        <f ca="1">OFFSET('Setup - IPCC Assessment'!$L$26,(ROW('Setup - IPCC Assessment'!L39)-1)*7,0)</f>
        <v>NA</v>
      </c>
      <c r="L81" s="249" t="str">
        <f ca="1">OFFSET('Setup - IPCC Assessment'!$L$27,(ROW('Setup - IPCC Assessment'!L39)-1)*7,0)</f>
        <v>NA</v>
      </c>
      <c r="M81" s="249">
        <f ca="1">OFFSET('Setup - IPCC Assessment'!$L$28,(ROW('Setup - IPCC Assessment'!L39)-1)*7,0)</f>
        <v>7.1000000000000004E-3</v>
      </c>
      <c r="N81" s="249" t="str">
        <f ca="1">OFFSET('Setup - IPCC Assessment'!$L$29,(ROW('Setup - IPCC Assessment'!L39)-1)*7,0)</f>
        <v>NA</v>
      </c>
      <c r="O81" s="127" t="str">
        <f ca="1">OFFSET('Setup - IPCC Assessment'!$M$23,(ROW('Setup - IPCC Assessment'!M39)-1)*7,0)</f>
        <v>tonnes/y/well</v>
      </c>
      <c r="P81" s="127">
        <f t="shared" ca="1" si="25"/>
        <v>0</v>
      </c>
      <c r="Q81" s="127">
        <f t="shared" ca="1" si="25"/>
        <v>0</v>
      </c>
      <c r="R81" s="127">
        <f t="shared" ca="1" si="26"/>
        <v>0</v>
      </c>
      <c r="S81" s="127">
        <f t="shared" ca="1" si="26"/>
        <v>0</v>
      </c>
      <c r="T81" s="127">
        <f t="shared" ca="1" si="26"/>
        <v>0</v>
      </c>
      <c r="U81" s="127">
        <f t="shared" ca="1" si="26"/>
        <v>0</v>
      </c>
      <c r="V81" s="127">
        <f t="shared" ca="1" si="27"/>
        <v>0</v>
      </c>
    </row>
    <row r="82" spans="1:22" ht="32.15" customHeight="1" x14ac:dyDescent="0.3">
      <c r="A82" s="382"/>
      <c r="B82" s="387"/>
      <c r="C82" s="388"/>
      <c r="D82" s="378" t="str">
        <f ca="1">'Translation Table'!H225</f>
        <v>Onshore unconventional gas production where exploration occurs with flaring or recovery</v>
      </c>
      <c r="E82" s="379"/>
      <c r="F82" s="140">
        <f ca="1">'Setup - IPCC Assessment'!Q296/1000</f>
        <v>0</v>
      </c>
      <c r="G82" s="151" t="s">
        <v>1154</v>
      </c>
      <c r="H82" s="150">
        <f ca="1">OFFSET('Setup - IPCC Assessment'!$L$23,(ROW('Setup - IPCC Assessment'!L40)-1)*7,0)</f>
        <v>0.08</v>
      </c>
      <c r="I82" s="150">
        <f ca="1">OFFSET('Setup - IPCC Assessment'!$L$24,(ROW('Setup - IPCC Assessment'!L40)-1)*7,0)</f>
        <v>3.16</v>
      </c>
      <c r="J82" s="150">
        <f ca="1">OFFSET('Setup - IPCC Assessment'!$L$25,(ROW('Setup - IPCC Assessment'!L40)-1)*7,0)</f>
        <v>2.3E-5</v>
      </c>
      <c r="K82" s="150" t="str">
        <f ca="1">OFFSET('Setup - IPCC Assessment'!$L$26,(ROW('Setup - IPCC Assessment'!L40)-1)*7,0)</f>
        <v>NA</v>
      </c>
      <c r="L82" s="150" t="str">
        <f ca="1">OFFSET('Setup - IPCC Assessment'!$L$27,(ROW('Setup - IPCC Assessment'!L40)-1)*7,0)</f>
        <v>NA</v>
      </c>
      <c r="M82" s="150">
        <f ca="1">OFFSET('Setup - IPCC Assessment'!$L$28,(ROW('Setup - IPCC Assessment'!L40)-1)*7,0)</f>
        <v>1.2999999999999999E-2</v>
      </c>
      <c r="N82" s="150" t="str">
        <f ca="1">OFFSET('Setup - IPCC Assessment'!$L$29,(ROW('Setup - IPCC Assessment'!L40)-1)*7,0)</f>
        <v>NA</v>
      </c>
      <c r="O82" s="196" t="s">
        <v>1181</v>
      </c>
      <c r="P82" s="140">
        <f t="shared" ca="1" si="25"/>
        <v>0</v>
      </c>
      <c r="Q82" s="140">
        <f t="shared" ca="1" si="25"/>
        <v>0</v>
      </c>
      <c r="R82" s="140">
        <f t="shared" ca="1" si="26"/>
        <v>0</v>
      </c>
      <c r="S82" s="140">
        <f t="shared" ca="1" si="26"/>
        <v>0</v>
      </c>
      <c r="T82" s="140">
        <f t="shared" ca="1" si="26"/>
        <v>0</v>
      </c>
      <c r="U82" s="140">
        <f t="shared" ca="1" si="26"/>
        <v>0</v>
      </c>
      <c r="V82" s="140">
        <f t="shared" ca="1" si="27"/>
        <v>0</v>
      </c>
    </row>
    <row r="83" spans="1:22" ht="15" customHeight="1" x14ac:dyDescent="0.3">
      <c r="A83" s="382"/>
      <c r="B83" s="383" t="str">
        <f ca="1">'Translation Table'!H157</f>
        <v>Onshore conventional Gas exploration</v>
      </c>
      <c r="C83" s="384"/>
      <c r="D83" s="372" t="str">
        <f ca="1">'Translation Table'!H226</f>
        <v>Onshore conventional gas wells drilled in a year</v>
      </c>
      <c r="E83" s="373"/>
      <c r="F83" s="127">
        <f>'Setup - IPCC Assessment'!Q303</f>
        <v>0</v>
      </c>
      <c r="G83" s="250" t="str">
        <f ca="1">'Setup - IPCC Assessment'!H303</f>
        <v>Well Count</v>
      </c>
      <c r="H83" s="249">
        <f ca="1">OFFSET('Setup - IPCC Assessment'!$L$23,(ROW('Setup - IPCC Assessment'!L41)-1)*7,0)</f>
        <v>5.78</v>
      </c>
      <c r="I83" s="249">
        <f ca="1">OFFSET('Setup - IPCC Assessment'!$L$24,(ROW('Setup - IPCC Assessment'!L41)-1)*7,0)</f>
        <v>4.72</v>
      </c>
      <c r="J83" s="249">
        <f ca="1">OFFSET('Setup - IPCC Assessment'!$L$25,(ROW('Setup - IPCC Assessment'!L41)-1)*7,0)</f>
        <v>3.4E-5</v>
      </c>
      <c r="K83" s="249" t="str">
        <f ca="1">OFFSET('Setup - IPCC Assessment'!$L$26,(ROW('Setup - IPCC Assessment'!L41)-1)*7,0)</f>
        <v>NA</v>
      </c>
      <c r="L83" s="249" t="str">
        <f ca="1">OFFSET('Setup - IPCC Assessment'!$L$27,(ROW('Setup - IPCC Assessment'!L41)-1)*7,0)</f>
        <v>NA</v>
      </c>
      <c r="M83" s="249">
        <f ca="1">OFFSET('Setup - IPCC Assessment'!$L$28,(ROW('Setup - IPCC Assessment'!L41)-1)*7,0)</f>
        <v>0.87</v>
      </c>
      <c r="N83" s="249" t="str">
        <f ca="1">OFFSET('Setup - IPCC Assessment'!$L$29,(ROW('Setup - IPCC Assessment'!L41)-1)*7,0)</f>
        <v>NA</v>
      </c>
      <c r="O83" s="127" t="str">
        <f ca="1">OFFSET('Setup - IPCC Assessment'!$M$23,(ROW('Setup - IPCC Assessment'!M41)-1)*7,0)</f>
        <v>tonnes/y/well</v>
      </c>
      <c r="P83" s="127">
        <f t="shared" ca="1" si="25"/>
        <v>0</v>
      </c>
      <c r="Q83" s="127">
        <f t="shared" ca="1" si="25"/>
        <v>0</v>
      </c>
      <c r="R83" s="127">
        <f t="shared" ca="1" si="26"/>
        <v>0</v>
      </c>
      <c r="S83" s="127">
        <f t="shared" ca="1" si="26"/>
        <v>0</v>
      </c>
      <c r="T83" s="127">
        <f t="shared" ca="1" si="26"/>
        <v>0</v>
      </c>
      <c r="U83" s="127">
        <f t="shared" ca="1" si="26"/>
        <v>0</v>
      </c>
      <c r="V83" s="127">
        <f t="shared" ca="1" si="27"/>
        <v>0</v>
      </c>
    </row>
    <row r="84" spans="1:22" ht="15" customHeight="1" x14ac:dyDescent="0.3">
      <c r="A84" s="382"/>
      <c r="B84" s="385"/>
      <c r="C84" s="386"/>
      <c r="D84" s="378" t="str">
        <f ca="1">'Translation Table'!H227</f>
        <v>Total conventional onshore gas well population</v>
      </c>
      <c r="E84" s="379"/>
      <c r="F84" s="140">
        <f>'Setup - IPCC Assessment'!Q310</f>
        <v>0</v>
      </c>
      <c r="G84" s="152" t="str">
        <f ca="1">'Setup - IPCC Assessment'!H310</f>
        <v>Well Count</v>
      </c>
      <c r="H84" s="150">
        <f ca="1">OFFSET('Setup - IPCC Assessment'!$L$23,(ROW('Setup - IPCC Assessment'!L42)-1)*7,0)</f>
        <v>0.03</v>
      </c>
      <c r="I84" s="150">
        <f ca="1">OFFSET('Setup - IPCC Assessment'!$L$24,(ROW('Setup - IPCC Assessment'!L42)-1)*7,0)</f>
        <v>0.03</v>
      </c>
      <c r="J84" s="150">
        <f ca="1">OFFSET('Setup - IPCC Assessment'!$L$25,(ROW('Setup - IPCC Assessment'!L42)-1)*7,0)</f>
        <v>2.2000000000000001E-7</v>
      </c>
      <c r="K84" s="150" t="str">
        <f ca="1">OFFSET('Setup - IPCC Assessment'!$L$26,(ROW('Setup - IPCC Assessment'!L42)-1)*7,0)</f>
        <v>NA</v>
      </c>
      <c r="L84" s="150" t="str">
        <f ca="1">OFFSET('Setup - IPCC Assessment'!$L$27,(ROW('Setup - IPCC Assessment'!L42)-1)*7,0)</f>
        <v>NA</v>
      </c>
      <c r="M84" s="150">
        <f ca="1">OFFSET('Setup - IPCC Assessment'!$L$28,(ROW('Setup - IPCC Assessment'!L42)-1)*7,0)</f>
        <v>5.1999999999999998E-3</v>
      </c>
      <c r="N84" s="150" t="str">
        <f ca="1">OFFSET('Setup - IPCC Assessment'!$L$29,(ROW('Setup - IPCC Assessment'!L42)-1)*7,0)</f>
        <v>NA</v>
      </c>
      <c r="O84" s="140" t="str">
        <f ca="1">OFFSET('Setup - IPCC Assessment'!$M$23,(ROW('Setup - IPCC Assessment'!M42)-1)*7,0)</f>
        <v>tonnes/y/well</v>
      </c>
      <c r="P84" s="140">
        <f t="shared" ca="1" si="25"/>
        <v>0</v>
      </c>
      <c r="Q84" s="140">
        <f t="shared" ca="1" si="25"/>
        <v>0</v>
      </c>
      <c r="R84" s="140">
        <f t="shared" ca="1" si="26"/>
        <v>0</v>
      </c>
      <c r="S84" s="140">
        <f t="shared" ca="1" si="26"/>
        <v>0</v>
      </c>
      <c r="T84" s="140">
        <f t="shared" ca="1" si="26"/>
        <v>0</v>
      </c>
      <c r="U84" s="140">
        <f t="shared" ca="1" si="26"/>
        <v>0</v>
      </c>
      <c r="V84" s="140">
        <f t="shared" ca="1" si="27"/>
        <v>0</v>
      </c>
    </row>
    <row r="85" spans="1:22" ht="15" customHeight="1" x14ac:dyDescent="0.3">
      <c r="A85" s="381"/>
      <c r="B85" s="387"/>
      <c r="C85" s="388"/>
      <c r="D85" s="372" t="str">
        <f ca="1">'Translation Table'!H228</f>
        <v>Onshore conventional gas production</v>
      </c>
      <c r="E85" s="373"/>
      <c r="F85" s="127">
        <f ca="1">'Setup - IPCC Assessment'!Q317/1000</f>
        <v>0</v>
      </c>
      <c r="G85" s="250" t="s">
        <v>1154</v>
      </c>
      <c r="H85" s="249">
        <f ca="1">OFFSET('Setup - IPCC Assessment'!$L$23,(ROW('Setup - IPCC Assessment'!L43)-1)*7,0)</f>
        <v>0.06</v>
      </c>
      <c r="I85" s="249">
        <f ca="1">OFFSET('Setup - IPCC Assessment'!$L$24,(ROW('Setup - IPCC Assessment'!L43)-1)*7,0)</f>
        <v>0.05</v>
      </c>
      <c r="J85" s="249">
        <f ca="1">OFFSET('Setup - IPCC Assessment'!$L$25,(ROW('Setup - IPCC Assessment'!L43)-1)*7,0)</f>
        <v>3.5999999999999999E-7</v>
      </c>
      <c r="K85" s="249" t="str">
        <f ca="1">OFFSET('Setup - IPCC Assessment'!$L$26,(ROW('Setup - IPCC Assessment'!L43)-1)*7,0)</f>
        <v>NA</v>
      </c>
      <c r="L85" s="249" t="str">
        <f ca="1">OFFSET('Setup - IPCC Assessment'!$L$27,(ROW('Setup - IPCC Assessment'!L43)-1)*7,0)</f>
        <v>NA</v>
      </c>
      <c r="M85" s="249">
        <f ca="1">OFFSET('Setup - IPCC Assessment'!$L$28,(ROW('Setup - IPCC Assessment'!L43)-1)*7,0)</f>
        <v>8.6E-3</v>
      </c>
      <c r="N85" s="249" t="str">
        <f ca="1">OFFSET('Setup - IPCC Assessment'!$L$29,(ROW('Setup - IPCC Assessment'!L43)-1)*7,0)</f>
        <v>NA</v>
      </c>
      <c r="O85" s="251" t="s">
        <v>1181</v>
      </c>
      <c r="P85" s="127">
        <f t="shared" ca="1" si="25"/>
        <v>0</v>
      </c>
      <c r="Q85" s="127">
        <f t="shared" ca="1" si="25"/>
        <v>0</v>
      </c>
      <c r="R85" s="127">
        <f t="shared" ca="1" si="26"/>
        <v>0</v>
      </c>
      <c r="S85" s="127">
        <f t="shared" ca="1" si="26"/>
        <v>0</v>
      </c>
      <c r="T85" s="127">
        <f t="shared" ca="1" si="26"/>
        <v>0</v>
      </c>
      <c r="U85" s="127">
        <f t="shared" ca="1" si="26"/>
        <v>0</v>
      </c>
      <c r="V85" s="127">
        <f t="shared" ca="1" si="27"/>
        <v>0</v>
      </c>
    </row>
    <row r="86" spans="1:22" ht="25.15" customHeight="1" x14ac:dyDescent="0.3">
      <c r="A86" s="380" t="str">
        <f ca="1">'Translation Table'!H123</f>
        <v>Gas Production and Gathering</v>
      </c>
      <c r="B86" s="383" t="str">
        <f ca="1">'Translation Table'!H158</f>
        <v>Onshore: Most activities occurring with higher-emitting technologies and practices</v>
      </c>
      <c r="C86" s="384"/>
      <c r="D86" s="378" t="str">
        <f ca="1">'Translation Table'!H229</f>
        <v>Onshore gas production</v>
      </c>
      <c r="E86" s="379"/>
      <c r="F86" s="140">
        <f ca="1">'Setup - IPCC Assessment'!Q324/1000</f>
        <v>0</v>
      </c>
      <c r="G86" s="151" t="s">
        <v>1154</v>
      </c>
      <c r="H86" s="150">
        <f ca="1">OFFSET('Setup - IPCC Assessment'!$L$23,(ROW('Setup - IPCC Assessment'!L44)-1)*7,0)</f>
        <v>4.09</v>
      </c>
      <c r="I86" s="150">
        <f ca="1">OFFSET('Setup - IPCC Assessment'!$L$24,(ROW('Setup - IPCC Assessment'!L44)-1)*7,0)</f>
        <v>1.45</v>
      </c>
      <c r="J86" s="150">
        <f ca="1">OFFSET('Setup - IPCC Assessment'!$L$25,(ROW('Setup - IPCC Assessment'!L44)-1)*7,0)</f>
        <v>2.5000000000000001E-5</v>
      </c>
      <c r="K86" s="150" t="str">
        <f ca="1">OFFSET('Setup - IPCC Assessment'!$L$26,(ROW('Setup - IPCC Assessment'!L44)-1)*7,0)</f>
        <v>NA</v>
      </c>
      <c r="L86" s="150" t="str">
        <f ca="1">OFFSET('Setup - IPCC Assessment'!$L$27,(ROW('Setup - IPCC Assessment'!L44)-1)*7,0)</f>
        <v>NA</v>
      </c>
      <c r="M86" s="150">
        <f ca="1">OFFSET('Setup - IPCC Assessment'!$L$28,(ROW('Setup - IPCC Assessment'!L44)-1)*7,0)</f>
        <v>0.98</v>
      </c>
      <c r="N86" s="150" t="str">
        <f ca="1">OFFSET('Setup - IPCC Assessment'!$L$29,(ROW('Setup - IPCC Assessment'!L44)-1)*7,0)</f>
        <v>NA</v>
      </c>
      <c r="O86" s="196" t="s">
        <v>1181</v>
      </c>
      <c r="P86" s="140">
        <f t="shared" ca="1" si="25"/>
        <v>0</v>
      </c>
      <c r="Q86" s="140">
        <f t="shared" ca="1" si="25"/>
        <v>0</v>
      </c>
      <c r="R86" s="140">
        <f t="shared" ca="1" si="26"/>
        <v>0</v>
      </c>
      <c r="S86" s="140">
        <f t="shared" ca="1" si="26"/>
        <v>0</v>
      </c>
      <c r="T86" s="140">
        <f t="shared" ca="1" si="26"/>
        <v>0</v>
      </c>
      <c r="U86" s="140">
        <f t="shared" ca="1" si="26"/>
        <v>0</v>
      </c>
      <c r="V86" s="140">
        <f t="shared" ca="1" si="27"/>
        <v>0</v>
      </c>
    </row>
    <row r="87" spans="1:22" ht="25.15" customHeight="1" x14ac:dyDescent="0.3">
      <c r="A87" s="382"/>
      <c r="B87" s="387"/>
      <c r="C87" s="388"/>
      <c r="D87" s="372" t="str">
        <f ca="1">'Translation Table'!H230</f>
        <v>Active gas well</v>
      </c>
      <c r="E87" s="373"/>
      <c r="F87" s="127">
        <f>'Setup - IPCC Assessment'!Q331</f>
        <v>0</v>
      </c>
      <c r="G87" s="255" t="str">
        <f ca="1">'Setup - IPCC Assessment'!H331</f>
        <v>Well Count</v>
      </c>
      <c r="H87" s="249">
        <f ca="1">OFFSET('Setup - IPCC Assessment'!$L$23,(ROW('Setup - IPCC Assessment'!L45)-1)*7,0)</f>
        <v>7.07</v>
      </c>
      <c r="I87" s="249">
        <f ca="1">OFFSET('Setup - IPCC Assessment'!$L$24,(ROW('Setup - IPCC Assessment'!L45)-1)*7,0)</f>
        <v>2.5099999999999998</v>
      </c>
      <c r="J87" s="249">
        <f ca="1">OFFSET('Setup - IPCC Assessment'!$L$25,(ROW('Setup - IPCC Assessment'!L45)-1)*7,0)</f>
        <v>4.3000000000000002E-5</v>
      </c>
      <c r="K87" s="249" t="str">
        <f ca="1">OFFSET('Setup - IPCC Assessment'!$L$26,(ROW('Setup - IPCC Assessment'!L45)-1)*7,0)</f>
        <v>NA</v>
      </c>
      <c r="L87" s="249" t="str">
        <f ca="1">OFFSET('Setup - IPCC Assessment'!$L$27,(ROW('Setup - IPCC Assessment'!L45)-1)*7,0)</f>
        <v>NA</v>
      </c>
      <c r="M87" s="249">
        <f ca="1">OFFSET('Setup - IPCC Assessment'!$L$28,(ROW('Setup - IPCC Assessment'!L45)-1)*7,0)</f>
        <v>1.7</v>
      </c>
      <c r="N87" s="249" t="str">
        <f ca="1">OFFSET('Setup - IPCC Assessment'!$L$29,(ROW('Setup - IPCC Assessment'!L45)-1)*7,0)</f>
        <v>NA</v>
      </c>
      <c r="O87" s="127" t="str">
        <f ca="1">OFFSET('Setup - IPCC Assessment'!$M$23,(ROW('Setup - IPCC Assessment'!M45)-1)*7,0)</f>
        <v>tonnes/y/well</v>
      </c>
      <c r="P87" s="127">
        <f t="shared" ca="1" si="25"/>
        <v>0</v>
      </c>
      <c r="Q87" s="127">
        <f t="shared" ca="1" si="25"/>
        <v>0</v>
      </c>
      <c r="R87" s="127">
        <f t="shared" ca="1" si="26"/>
        <v>0</v>
      </c>
      <c r="S87" s="127">
        <f t="shared" ca="1" si="26"/>
        <v>0</v>
      </c>
      <c r="T87" s="127">
        <f t="shared" ca="1" si="26"/>
        <v>0</v>
      </c>
      <c r="U87" s="127">
        <f t="shared" ca="1" si="26"/>
        <v>0</v>
      </c>
      <c r="V87" s="127">
        <f t="shared" ca="1" si="27"/>
        <v>0</v>
      </c>
    </row>
    <row r="88" spans="1:22" ht="25.15" customHeight="1" x14ac:dyDescent="0.3">
      <c r="A88" s="382"/>
      <c r="B88" s="383" t="str">
        <f ca="1">'Translation Table'!H159</f>
        <v>Onshore: Most activities occurring with lower-emitting technologies and practices</v>
      </c>
      <c r="C88" s="384"/>
      <c r="D88" s="378" t="str">
        <f ca="1">'Translation Table'!H231</f>
        <v>Onshore gas production</v>
      </c>
      <c r="E88" s="379"/>
      <c r="F88" s="140">
        <f ca="1">'Setup - IPCC Assessment'!Q338/1000</f>
        <v>0</v>
      </c>
      <c r="G88" s="151" t="s">
        <v>1154</v>
      </c>
      <c r="H88" s="150">
        <f ca="1">OFFSET('Setup - IPCC Assessment'!$L$23,(ROW('Setup - IPCC Assessment'!L46)-1)*7,0)</f>
        <v>2.54</v>
      </c>
      <c r="I88" s="150">
        <f ca="1">OFFSET('Setup - IPCC Assessment'!$L$24,(ROW('Setup - IPCC Assessment'!L46)-1)*7,0)</f>
        <v>3.6</v>
      </c>
      <c r="J88" s="150">
        <f ca="1">OFFSET('Setup - IPCC Assessment'!$L$25,(ROW('Setup - IPCC Assessment'!L46)-1)*7,0)</f>
        <v>6.0999999999999999E-5</v>
      </c>
      <c r="K88" s="150" t="str">
        <f ca="1">OFFSET('Setup - IPCC Assessment'!$L$26,(ROW('Setup - IPCC Assessment'!L46)-1)*7,0)</f>
        <v>NA</v>
      </c>
      <c r="L88" s="150" t="str">
        <f ca="1">OFFSET('Setup - IPCC Assessment'!$L$27,(ROW('Setup - IPCC Assessment'!L46)-1)*7,0)</f>
        <v>NA</v>
      </c>
      <c r="M88" s="150">
        <f ca="1">OFFSET('Setup - IPCC Assessment'!$L$28,(ROW('Setup - IPCC Assessment'!L46)-1)*7,0)</f>
        <v>0.61</v>
      </c>
      <c r="N88" s="150" t="str">
        <f ca="1">OFFSET('Setup - IPCC Assessment'!$L$29,(ROW('Setup - IPCC Assessment'!L46)-1)*7,0)</f>
        <v>NA</v>
      </c>
      <c r="O88" s="196" t="s">
        <v>1181</v>
      </c>
      <c r="P88" s="140">
        <f t="shared" ca="1" si="25"/>
        <v>0</v>
      </c>
      <c r="Q88" s="140">
        <f t="shared" ca="1" si="25"/>
        <v>0</v>
      </c>
      <c r="R88" s="140">
        <f t="shared" ca="1" si="26"/>
        <v>0</v>
      </c>
      <c r="S88" s="140">
        <f t="shared" ca="1" si="26"/>
        <v>0</v>
      </c>
      <c r="T88" s="140">
        <f t="shared" ca="1" si="26"/>
        <v>0</v>
      </c>
      <c r="U88" s="140">
        <f t="shared" ca="1" si="26"/>
        <v>0</v>
      </c>
      <c r="V88" s="140">
        <f t="shared" ca="1" si="27"/>
        <v>0</v>
      </c>
    </row>
    <row r="89" spans="1:22" ht="25.15" customHeight="1" x14ac:dyDescent="0.3">
      <c r="A89" s="382"/>
      <c r="B89" s="387"/>
      <c r="C89" s="388"/>
      <c r="D89" s="372" t="str">
        <f ca="1">'Translation Table'!H232</f>
        <v>Active gas well</v>
      </c>
      <c r="E89" s="373"/>
      <c r="F89" s="127">
        <f>'Setup - IPCC Assessment'!Q345</f>
        <v>0</v>
      </c>
      <c r="G89" s="255" t="str">
        <f ca="1">'Setup - IPCC Assessment'!H345</f>
        <v>Well Count</v>
      </c>
      <c r="H89" s="249">
        <f ca="1">OFFSET('Setup - IPCC Assessment'!$L$23,(ROW('Setup - IPCC Assessment'!L47)-1)*7,0)</f>
        <v>4.37</v>
      </c>
      <c r="I89" s="249">
        <f ca="1">OFFSET('Setup - IPCC Assessment'!$L$24,(ROW('Setup - IPCC Assessment'!L47)-1)*7,0)</f>
        <v>6.21</v>
      </c>
      <c r="J89" s="249">
        <f ca="1">OFFSET('Setup - IPCC Assessment'!$L$25,(ROW('Setup - IPCC Assessment'!L47)-1)*7,0)</f>
        <v>1.1E-4</v>
      </c>
      <c r="K89" s="249" t="str">
        <f ca="1">OFFSET('Setup - IPCC Assessment'!$L$26,(ROW('Setup - IPCC Assessment'!L47)-1)*7,0)</f>
        <v>NA</v>
      </c>
      <c r="L89" s="249" t="str">
        <f ca="1">OFFSET('Setup - IPCC Assessment'!$L$27,(ROW('Setup - IPCC Assessment'!L47)-1)*7,0)</f>
        <v>NA</v>
      </c>
      <c r="M89" s="249">
        <f ca="1">OFFSET('Setup - IPCC Assessment'!$L$28,(ROW('Setup - IPCC Assessment'!L47)-1)*7,0)</f>
        <v>1.05</v>
      </c>
      <c r="N89" s="249" t="str">
        <f ca="1">OFFSET('Setup - IPCC Assessment'!$L$29,(ROW('Setup - IPCC Assessment'!L47)-1)*7,0)</f>
        <v>NA</v>
      </c>
      <c r="O89" s="127" t="str">
        <f ca="1">OFFSET('Setup - IPCC Assessment'!$M$23,(ROW('Setup - IPCC Assessment'!M47)-1)*7,0)</f>
        <v>tonnes/y/well</v>
      </c>
      <c r="P89" s="127">
        <f t="shared" ca="1" si="25"/>
        <v>0</v>
      </c>
      <c r="Q89" s="127">
        <f t="shared" ca="1" si="25"/>
        <v>0</v>
      </c>
      <c r="R89" s="127">
        <f t="shared" ca="1" si="26"/>
        <v>0</v>
      </c>
      <c r="S89" s="127">
        <f t="shared" ca="1" si="26"/>
        <v>0</v>
      </c>
      <c r="T89" s="127">
        <f t="shared" ca="1" si="26"/>
        <v>0</v>
      </c>
      <c r="U89" s="127">
        <f t="shared" ca="1" si="26"/>
        <v>0</v>
      </c>
      <c r="V89" s="127">
        <f t="shared" ca="1" si="27"/>
        <v>0</v>
      </c>
    </row>
    <row r="90" spans="1:22" ht="25.15" customHeight="1" x14ac:dyDescent="0.3">
      <c r="A90" s="382"/>
      <c r="B90" s="383" t="str">
        <f ca="1">'Translation Table'!H160</f>
        <v>Onshore All</v>
      </c>
      <c r="C90" s="384"/>
      <c r="D90" s="378" t="str">
        <f ca="1">'Translation Table'!H233</f>
        <v>Onshore gas production</v>
      </c>
      <c r="E90" s="379"/>
      <c r="F90" s="140">
        <f ca="1">'Setup - IPCC Assessment'!Q352/1000</f>
        <v>0</v>
      </c>
      <c r="G90" s="151" t="s">
        <v>1154</v>
      </c>
      <c r="H90" s="150" t="str">
        <f ca="1">OFFSET('Setup - IPCC Assessment'!$L$23,(ROW('Setup - IPCC Assessment'!L48)-1)*7,0)</f>
        <v>NA</v>
      </c>
      <c r="I90" s="150" t="str">
        <f ca="1">OFFSET('Setup - IPCC Assessment'!$L$24,(ROW('Setup - IPCC Assessment'!L48)-1)*7,0)</f>
        <v>NA</v>
      </c>
      <c r="J90" s="150" t="str">
        <f ca="1">OFFSET('Setup - IPCC Assessment'!$L$25,(ROW('Setup - IPCC Assessment'!L48)-1)*7,0)</f>
        <v>NA</v>
      </c>
      <c r="K90" s="150" t="str">
        <f ca="1">OFFSET('Setup - IPCC Assessment'!$L$26,(ROW('Setup - IPCC Assessment'!L48)-1)*7,0)</f>
        <v>NA</v>
      </c>
      <c r="L90" s="150" t="str">
        <f ca="1">OFFSET('Setup - IPCC Assessment'!$L$27,(ROW('Setup - IPCC Assessment'!L48)-1)*7,0)</f>
        <v>NA</v>
      </c>
      <c r="M90" s="150" t="str">
        <f ca="1">OFFSET('Setup - IPCC Assessment'!$L$28,(ROW('Setup - IPCC Assessment'!L48)-1)*7,0)</f>
        <v>NA</v>
      </c>
      <c r="N90" s="150" t="str">
        <f ca="1">OFFSET('Setup - IPCC Assessment'!$L$29,(ROW('Setup - IPCC Assessment'!L48)-1)*7,0)</f>
        <v>NA</v>
      </c>
      <c r="O90" s="196" t="s">
        <v>1181</v>
      </c>
      <c r="P90" s="140">
        <f t="shared" ref="P90:P91" ca="1" si="34">IF(OR(H90="NA",H90="ND"),0,$F90*H90)</f>
        <v>0</v>
      </c>
      <c r="Q90" s="140">
        <f t="shared" ref="Q90:U91" ca="1" si="35">IF(OR(I90="NA",I90="ND"),0,$F90*I90)</f>
        <v>0</v>
      </c>
      <c r="R90" s="140">
        <f t="shared" ca="1" si="35"/>
        <v>0</v>
      </c>
      <c r="S90" s="140">
        <f t="shared" ca="1" si="35"/>
        <v>0</v>
      </c>
      <c r="T90" s="140">
        <f t="shared" ca="1" si="35"/>
        <v>0</v>
      </c>
      <c r="U90" s="140">
        <f t="shared" ca="1" si="35"/>
        <v>0</v>
      </c>
      <c r="V90" s="140">
        <f t="shared" ref="V90:V91" ca="1" si="36">IF(OR(N90="NA",N90="ND"),0,$F90*N90)</f>
        <v>0</v>
      </c>
    </row>
    <row r="91" spans="1:22" ht="25.15" customHeight="1" x14ac:dyDescent="0.3">
      <c r="A91" s="382"/>
      <c r="B91" s="387"/>
      <c r="C91" s="388"/>
      <c r="D91" s="372" t="str">
        <f ca="1">'Translation Table'!H234</f>
        <v>Active gas well</v>
      </c>
      <c r="E91" s="373"/>
      <c r="F91" s="127">
        <f>'Setup - IPCC Assessment'!Q359</f>
        <v>0</v>
      </c>
      <c r="G91" s="255" t="str">
        <f ca="1">'Setup - IPCC Assessment'!H359</f>
        <v>Well Count</v>
      </c>
      <c r="H91" s="249" t="str">
        <f ca="1">OFFSET('Setup - IPCC Assessment'!$L$23,(ROW('Setup - IPCC Assessment'!L49)-1)*7,0)</f>
        <v>NA</v>
      </c>
      <c r="I91" s="249" t="str">
        <f ca="1">OFFSET('Setup - IPCC Assessment'!$L$24,(ROW('Setup - IPCC Assessment'!L49)-1)*7,0)</f>
        <v>NA</v>
      </c>
      <c r="J91" s="249" t="str">
        <f ca="1">OFFSET('Setup - IPCC Assessment'!$L$25,(ROW('Setup - IPCC Assessment'!L49)-1)*7,0)</f>
        <v>NA</v>
      </c>
      <c r="K91" s="249" t="str">
        <f ca="1">OFFSET('Setup - IPCC Assessment'!$L$26,(ROW('Setup - IPCC Assessment'!L49)-1)*7,0)</f>
        <v>NA</v>
      </c>
      <c r="L91" s="249" t="str">
        <f ca="1">OFFSET('Setup - IPCC Assessment'!$L$27,(ROW('Setup - IPCC Assessment'!L49)-1)*7,0)</f>
        <v>NA</v>
      </c>
      <c r="M91" s="249" t="str">
        <f ca="1">OFFSET('Setup - IPCC Assessment'!$L$28,(ROW('Setup - IPCC Assessment'!L49)-1)*7,0)</f>
        <v>NA</v>
      </c>
      <c r="N91" s="249" t="str">
        <f ca="1">OFFSET('Setup - IPCC Assessment'!$L$29,(ROW('Setup - IPCC Assessment'!L49)-1)*7,0)</f>
        <v>NA</v>
      </c>
      <c r="O91" s="127" t="str">
        <f ca="1">OFFSET('Setup - IPCC Assessment'!$M$23,(ROW('Setup - IPCC Assessment'!M49)-1)*7,0)</f>
        <v>tonnes/y/well</v>
      </c>
      <c r="P91" s="127">
        <f t="shared" ca="1" si="34"/>
        <v>0</v>
      </c>
      <c r="Q91" s="127">
        <f t="shared" ca="1" si="35"/>
        <v>0</v>
      </c>
      <c r="R91" s="127">
        <f t="shared" ca="1" si="35"/>
        <v>0</v>
      </c>
      <c r="S91" s="127">
        <f t="shared" ca="1" si="35"/>
        <v>0</v>
      </c>
      <c r="T91" s="127">
        <f t="shared" ca="1" si="35"/>
        <v>0</v>
      </c>
      <c r="U91" s="127">
        <f t="shared" ca="1" si="35"/>
        <v>0</v>
      </c>
      <c r="V91" s="127">
        <f t="shared" ca="1" si="36"/>
        <v>0</v>
      </c>
    </row>
    <row r="92" spans="1:22" ht="15" customHeight="1" x14ac:dyDescent="0.3">
      <c r="A92" s="382"/>
      <c r="B92" s="370" t="str">
        <f ca="1">'Translation Table'!H161</f>
        <v>Onshore Coal Bed Methane</v>
      </c>
      <c r="C92" s="371"/>
      <c r="D92" s="378" t="str">
        <f ca="1">'Translation Table'!H235</f>
        <v>Onshore gas production</v>
      </c>
      <c r="E92" s="379"/>
      <c r="F92" s="140">
        <f ca="1">'Setup - IPCC Assessment'!Q366/1000</f>
        <v>0</v>
      </c>
      <c r="G92" s="151" t="s">
        <v>1154</v>
      </c>
      <c r="H92" s="150">
        <f ca="1">OFFSET('Setup - IPCC Assessment'!$L$23,(ROW('Setup - IPCC Assessment'!L50)-1)*7,0)</f>
        <v>1.95</v>
      </c>
      <c r="I92" s="150">
        <f ca="1">OFFSET('Setup - IPCC Assessment'!$L$24,(ROW('Setup - IPCC Assessment'!L50)-1)*7,0)</f>
        <v>19.57</v>
      </c>
      <c r="J92" s="150">
        <f ca="1">OFFSET('Setup - IPCC Assessment'!$L$25,(ROW('Setup - IPCC Assessment'!L50)-1)*7,0)</f>
        <v>7.2000000000000005E-4</v>
      </c>
      <c r="K92" s="150" t="str">
        <f ca="1">OFFSET('Setup - IPCC Assessment'!$L$26,(ROW('Setup - IPCC Assessment'!L50)-1)*7,0)</f>
        <v>NA</v>
      </c>
      <c r="L92" s="150" t="str">
        <f ca="1">OFFSET('Setup - IPCC Assessment'!$L$27,(ROW('Setup - IPCC Assessment'!L50)-1)*7,0)</f>
        <v>NA</v>
      </c>
      <c r="M92" s="150">
        <f ca="1">OFFSET('Setup - IPCC Assessment'!$L$28,(ROW('Setup - IPCC Assessment'!L50)-1)*7,0)</f>
        <v>0.23</v>
      </c>
      <c r="N92" s="150" t="str">
        <f ca="1">OFFSET('Setup - IPCC Assessment'!$L$29,(ROW('Setup - IPCC Assessment'!L50)-1)*7,0)</f>
        <v>NA</v>
      </c>
      <c r="O92" s="196" t="s">
        <v>1181</v>
      </c>
      <c r="P92" s="140">
        <f t="shared" ca="1" si="25"/>
        <v>0</v>
      </c>
      <c r="Q92" s="140">
        <f t="shared" ca="1" si="25"/>
        <v>0</v>
      </c>
      <c r="R92" s="140">
        <f t="shared" ca="1" si="26"/>
        <v>0</v>
      </c>
      <c r="S92" s="140">
        <f t="shared" ca="1" si="26"/>
        <v>0</v>
      </c>
      <c r="T92" s="140">
        <f t="shared" ca="1" si="26"/>
        <v>0</v>
      </c>
      <c r="U92" s="140">
        <f t="shared" ca="1" si="26"/>
        <v>0</v>
      </c>
      <c r="V92" s="140">
        <f t="shared" ca="1" si="27"/>
        <v>0</v>
      </c>
    </row>
    <row r="93" spans="1:22" ht="15" customHeight="1" x14ac:dyDescent="0.3">
      <c r="A93" s="382"/>
      <c r="B93" s="370" t="str">
        <f ca="1">'Translation Table'!H162</f>
        <v>Gathering</v>
      </c>
      <c r="C93" s="371"/>
      <c r="D93" s="372" t="str">
        <f ca="1">'Translation Table'!H236</f>
        <v>Onshore gas production</v>
      </c>
      <c r="E93" s="373"/>
      <c r="F93" s="127">
        <f ca="1">'Setup - IPCC Assessment'!Q373/1000</f>
        <v>0</v>
      </c>
      <c r="G93" s="250" t="s">
        <v>1154</v>
      </c>
      <c r="H93" s="249">
        <f ca="1">OFFSET('Setup - IPCC Assessment'!$L$23,(ROW('Setup - IPCC Assessment'!L51)-1)*7,0)</f>
        <v>3.2</v>
      </c>
      <c r="I93" s="249">
        <f ca="1">OFFSET('Setup - IPCC Assessment'!$L$24,(ROW('Setup - IPCC Assessment'!L51)-1)*7,0)</f>
        <v>0.35</v>
      </c>
      <c r="J93" s="249">
        <f ca="1">OFFSET('Setup - IPCC Assessment'!$L$25,(ROW('Setup - IPCC Assessment'!L51)-1)*7,0)</f>
        <v>6.0000000000000002E-6</v>
      </c>
      <c r="K93" s="249" t="str">
        <f ca="1">OFFSET('Setup - IPCC Assessment'!$L$26,(ROW('Setup - IPCC Assessment'!L51)-1)*7,0)</f>
        <v>NA</v>
      </c>
      <c r="L93" s="249" t="str">
        <f ca="1">OFFSET('Setup - IPCC Assessment'!$L$27,(ROW('Setup - IPCC Assessment'!L51)-1)*7,0)</f>
        <v>NA</v>
      </c>
      <c r="M93" s="249">
        <f ca="1">OFFSET('Setup - IPCC Assessment'!$L$28,(ROW('Setup - IPCC Assessment'!L51)-1)*7,0)</f>
        <v>0.77</v>
      </c>
      <c r="N93" s="249" t="str">
        <f ca="1">OFFSET('Setup - IPCC Assessment'!$L$29,(ROW('Setup - IPCC Assessment'!L51)-1)*7,0)</f>
        <v>NA</v>
      </c>
      <c r="O93" s="251" t="s">
        <v>1181</v>
      </c>
      <c r="P93" s="127">
        <f t="shared" ca="1" si="25"/>
        <v>0</v>
      </c>
      <c r="Q93" s="127">
        <f t="shared" ca="1" si="25"/>
        <v>0</v>
      </c>
      <c r="R93" s="127">
        <f t="shared" ca="1" si="26"/>
        <v>0</v>
      </c>
      <c r="S93" s="127">
        <f t="shared" ca="1" si="26"/>
        <v>0</v>
      </c>
      <c r="T93" s="127">
        <f t="shared" ca="1" si="26"/>
        <v>0</v>
      </c>
      <c r="U93" s="127">
        <f t="shared" ca="1" si="26"/>
        <v>0</v>
      </c>
      <c r="V93" s="127">
        <f t="shared" ca="1" si="27"/>
        <v>0</v>
      </c>
    </row>
    <row r="94" spans="1:22" ht="15" customHeight="1" x14ac:dyDescent="0.3">
      <c r="A94" s="381"/>
      <c r="B94" s="370" t="str">
        <f ca="1">'Translation Table'!H163</f>
        <v>Offshore</v>
      </c>
      <c r="C94" s="371"/>
      <c r="D94" s="378" t="str">
        <f ca="1">'Translation Table'!H237</f>
        <v>Offshore gas production</v>
      </c>
      <c r="E94" s="379"/>
      <c r="F94" s="140">
        <f ca="1">'Setup - IPCC Assessment'!Q380/1000</f>
        <v>0</v>
      </c>
      <c r="G94" s="151" t="s">
        <v>1154</v>
      </c>
      <c r="H94" s="150">
        <f ca="1">OFFSET('Setup - IPCC Assessment'!$L$23,(ROW('Setup - IPCC Assessment'!L52)-1)*7,0)</f>
        <v>2.94</v>
      </c>
      <c r="I94" s="150">
        <f ca="1">OFFSET('Setup - IPCC Assessment'!$L$24,(ROW('Setup - IPCC Assessment'!L52)-1)*7,0)</f>
        <v>4.8</v>
      </c>
      <c r="J94" s="150">
        <f ca="1">OFFSET('Setup - IPCC Assessment'!$L$25,(ROW('Setup - IPCC Assessment'!L52)-1)*7,0)</f>
        <v>8.2000000000000001E-5</v>
      </c>
      <c r="K94" s="150" t="str">
        <f ca="1">OFFSET('Setup - IPCC Assessment'!$L$26,(ROW('Setup - IPCC Assessment'!L52)-1)*7,0)</f>
        <v>NA</v>
      </c>
      <c r="L94" s="150" t="str">
        <f ca="1">OFFSET('Setup - IPCC Assessment'!$L$27,(ROW('Setup - IPCC Assessment'!L52)-1)*7,0)</f>
        <v>NA</v>
      </c>
      <c r="M94" s="150">
        <f ca="1">OFFSET('Setup - IPCC Assessment'!$L$28,(ROW('Setup - IPCC Assessment'!L52)-1)*7,0)</f>
        <v>0.7</v>
      </c>
      <c r="N94" s="150" t="str">
        <f ca="1">OFFSET('Setup - IPCC Assessment'!$L$29,(ROW('Setup - IPCC Assessment'!L52)-1)*7,0)</f>
        <v>NA</v>
      </c>
      <c r="O94" s="196" t="s">
        <v>1181</v>
      </c>
      <c r="P94" s="140">
        <f t="shared" ca="1" si="25"/>
        <v>0</v>
      </c>
      <c r="Q94" s="140">
        <f t="shared" ca="1" si="25"/>
        <v>0</v>
      </c>
      <c r="R94" s="140">
        <f t="shared" ca="1" si="26"/>
        <v>0</v>
      </c>
      <c r="S94" s="140">
        <f t="shared" ca="1" si="26"/>
        <v>0</v>
      </c>
      <c r="T94" s="140">
        <f t="shared" ca="1" si="26"/>
        <v>0</v>
      </c>
      <c r="U94" s="140">
        <f t="shared" ca="1" si="26"/>
        <v>0</v>
      </c>
      <c r="V94" s="140">
        <f t="shared" ca="1" si="27"/>
        <v>0</v>
      </c>
    </row>
    <row r="95" spans="1:22" ht="32.15" customHeight="1" x14ac:dyDescent="0.3">
      <c r="A95" s="380" t="str">
        <f ca="1">'Translation Table'!H124</f>
        <v>Gas Processing</v>
      </c>
      <c r="B95" s="383" t="str">
        <f ca="1">'Translation Table'!H164</f>
        <v>Without LDAR, or with limited LDAR, or less than 50% of centrifugal compressors have dry seals</v>
      </c>
      <c r="C95" s="384"/>
      <c r="D95" s="372" t="str">
        <f ca="1">'Translation Table'!H238</f>
        <v>Gas processed</v>
      </c>
      <c r="E95" s="373"/>
      <c r="F95" s="127">
        <f ca="1">'Setup - IPCC Assessment'!Q387/1000</f>
        <v>0</v>
      </c>
      <c r="G95" s="250" t="s">
        <v>1154</v>
      </c>
      <c r="H95" s="249">
        <f ca="1">OFFSET('Setup - IPCC Assessment'!$L$23,(ROW('Setup - IPCC Assessment'!L53)-1)*7,0)</f>
        <v>1.83</v>
      </c>
      <c r="I95" s="249">
        <f ca="1">OFFSET('Setup - IPCC Assessment'!$L$24,(ROW('Setup - IPCC Assessment'!L53)-1)*7,0)</f>
        <v>0.12</v>
      </c>
      <c r="J95" s="249">
        <f ca="1">OFFSET('Setup - IPCC Assessment'!$L$25,(ROW('Setup - IPCC Assessment'!L53)-1)*7,0)</f>
        <v>1.3E-6</v>
      </c>
      <c r="K95" s="249" t="str">
        <f ca="1">OFFSET('Setup - IPCC Assessment'!$L$26,(ROW('Setup - IPCC Assessment'!L53)-1)*7,0)</f>
        <v>NA</v>
      </c>
      <c r="L95" s="249" t="str">
        <f ca="1">OFFSET('Setup - IPCC Assessment'!$L$27,(ROW('Setup - IPCC Assessment'!L53)-1)*7,0)</f>
        <v>NA</v>
      </c>
      <c r="M95" s="249">
        <f ca="1">OFFSET('Setup - IPCC Assessment'!$L$28,(ROW('Setup - IPCC Assessment'!L53)-1)*7,0)</f>
        <v>0.15</v>
      </c>
      <c r="N95" s="249" t="str">
        <f ca="1">OFFSET('Setup - IPCC Assessment'!$L$29,(ROW('Setup - IPCC Assessment'!L53)-1)*7,0)</f>
        <v>NA</v>
      </c>
      <c r="O95" s="251" t="s">
        <v>1181</v>
      </c>
      <c r="P95" s="127">
        <f t="shared" ca="1" si="25"/>
        <v>0</v>
      </c>
      <c r="Q95" s="127">
        <f t="shared" ca="1" si="25"/>
        <v>0</v>
      </c>
      <c r="R95" s="127">
        <f t="shared" ca="1" si="26"/>
        <v>0</v>
      </c>
      <c r="S95" s="127">
        <f t="shared" ca="1" si="26"/>
        <v>0</v>
      </c>
      <c r="T95" s="127">
        <f t="shared" ca="1" si="26"/>
        <v>0</v>
      </c>
      <c r="U95" s="127">
        <f t="shared" ca="1" si="26"/>
        <v>0</v>
      </c>
      <c r="V95" s="127">
        <f t="shared" ca="1" si="27"/>
        <v>0</v>
      </c>
    </row>
    <row r="96" spans="1:22" ht="32.15" customHeight="1" x14ac:dyDescent="0.3">
      <c r="A96" s="382"/>
      <c r="B96" s="387"/>
      <c r="C96" s="388"/>
      <c r="D96" s="378" t="str">
        <f ca="1">'Translation Table'!H239</f>
        <v>Gas produced</v>
      </c>
      <c r="E96" s="379"/>
      <c r="F96" s="140">
        <f ca="1">'Setup - IPCC Assessment'!Q394/1000</f>
        <v>0</v>
      </c>
      <c r="G96" s="151" t="s">
        <v>1154</v>
      </c>
      <c r="H96" s="150">
        <f ca="1">OFFSET('Setup - IPCC Assessment'!$L$23,(ROW('Setup - IPCC Assessment'!L54)-1)*7,0)</f>
        <v>1.65</v>
      </c>
      <c r="I96" s="150">
        <f ca="1">OFFSET('Setup - IPCC Assessment'!$L$24,(ROW('Setup - IPCC Assessment'!L54)-1)*7,0)</f>
        <v>0.11</v>
      </c>
      <c r="J96" s="150">
        <f ca="1">OFFSET('Setup - IPCC Assessment'!$L$25,(ROW('Setup - IPCC Assessment'!L54)-1)*7,0)</f>
        <v>1.1999999999999999E-6</v>
      </c>
      <c r="K96" s="150" t="str">
        <f ca="1">OFFSET('Setup - IPCC Assessment'!$L$26,(ROW('Setup - IPCC Assessment'!L54)-1)*7,0)</f>
        <v>NA</v>
      </c>
      <c r="L96" s="150" t="str">
        <f ca="1">OFFSET('Setup - IPCC Assessment'!$L$27,(ROW('Setup - IPCC Assessment'!L54)-1)*7,0)</f>
        <v>NA</v>
      </c>
      <c r="M96" s="150">
        <f ca="1">OFFSET('Setup - IPCC Assessment'!$L$28,(ROW('Setup - IPCC Assessment'!L54)-1)*7,0)</f>
        <v>0.13</v>
      </c>
      <c r="N96" s="150" t="str">
        <f ca="1">OFFSET('Setup - IPCC Assessment'!$L$29,(ROW('Setup - IPCC Assessment'!L54)-1)*7,0)</f>
        <v>NA</v>
      </c>
      <c r="O96" s="196" t="s">
        <v>1181</v>
      </c>
      <c r="P96" s="140">
        <f t="shared" ca="1" si="25"/>
        <v>0</v>
      </c>
      <c r="Q96" s="140">
        <f t="shared" ca="1" si="25"/>
        <v>0</v>
      </c>
      <c r="R96" s="140">
        <f t="shared" ca="1" si="26"/>
        <v>0</v>
      </c>
      <c r="S96" s="140">
        <f t="shared" ca="1" si="26"/>
        <v>0</v>
      </c>
      <c r="T96" s="140">
        <f t="shared" ca="1" si="26"/>
        <v>0</v>
      </c>
      <c r="U96" s="140">
        <f t="shared" ca="1" si="26"/>
        <v>0</v>
      </c>
      <c r="V96" s="140">
        <f t="shared" ca="1" si="27"/>
        <v>0</v>
      </c>
    </row>
    <row r="97" spans="1:22" ht="32.15" customHeight="1" x14ac:dyDescent="0.3">
      <c r="A97" s="382"/>
      <c r="B97" s="383" t="str">
        <f ca="1">'Translation Table'!H165</f>
        <v>Extensive LDAR, and around 50% or more of centrifugal compressors have dry seals</v>
      </c>
      <c r="C97" s="384"/>
      <c r="D97" s="372" t="str">
        <f ca="1">'Translation Table'!H240</f>
        <v>Gas processed</v>
      </c>
      <c r="E97" s="373"/>
      <c r="F97" s="127">
        <f ca="1">'Setup - IPCC Assessment'!Q401/1000</f>
        <v>0</v>
      </c>
      <c r="G97" s="250" t="s">
        <v>1154</v>
      </c>
      <c r="H97" s="249">
        <f ca="1">OFFSET('Setup - IPCC Assessment'!$L$23,(ROW('Setup - IPCC Assessment'!L55)-1)*7,0)</f>
        <v>0.75</v>
      </c>
      <c r="I97" s="249">
        <f ca="1">OFFSET('Setup - IPCC Assessment'!$L$24,(ROW('Setup - IPCC Assessment'!L55)-1)*7,0)</f>
        <v>9.4499999999999993</v>
      </c>
      <c r="J97" s="249">
        <f ca="1">OFFSET('Setup - IPCC Assessment'!$L$25,(ROW('Setup - IPCC Assessment'!L55)-1)*7,0)</f>
        <v>1E-4</v>
      </c>
      <c r="K97" s="249" t="str">
        <f ca="1">OFFSET('Setup - IPCC Assessment'!$L$26,(ROW('Setup - IPCC Assessment'!L55)-1)*7,0)</f>
        <v>NA</v>
      </c>
      <c r="L97" s="249" t="str">
        <f ca="1">OFFSET('Setup - IPCC Assessment'!$L$27,(ROW('Setup - IPCC Assessment'!L55)-1)*7,0)</f>
        <v>NA</v>
      </c>
      <c r="M97" s="249">
        <f ca="1">OFFSET('Setup - IPCC Assessment'!$L$28,(ROW('Setup - IPCC Assessment'!L55)-1)*7,0)</f>
        <v>0.06</v>
      </c>
      <c r="N97" s="249" t="str">
        <f ca="1">OFFSET('Setup - IPCC Assessment'!$L$29,(ROW('Setup - IPCC Assessment'!L55)-1)*7,0)</f>
        <v>NA</v>
      </c>
      <c r="O97" s="251" t="s">
        <v>1181</v>
      </c>
      <c r="P97" s="127">
        <f t="shared" ca="1" si="25"/>
        <v>0</v>
      </c>
      <c r="Q97" s="127">
        <f t="shared" ca="1" si="25"/>
        <v>0</v>
      </c>
      <c r="R97" s="127">
        <f t="shared" ca="1" si="26"/>
        <v>0</v>
      </c>
      <c r="S97" s="127">
        <f t="shared" ca="1" si="26"/>
        <v>0</v>
      </c>
      <c r="T97" s="127">
        <f t="shared" ca="1" si="26"/>
        <v>0</v>
      </c>
      <c r="U97" s="127">
        <f t="shared" ca="1" si="26"/>
        <v>0</v>
      </c>
      <c r="V97" s="127">
        <f t="shared" ca="1" si="27"/>
        <v>0</v>
      </c>
    </row>
    <row r="98" spans="1:22" ht="32.15" customHeight="1" x14ac:dyDescent="0.3">
      <c r="A98" s="382"/>
      <c r="B98" s="387"/>
      <c r="C98" s="388"/>
      <c r="D98" s="378" t="str">
        <f ca="1">'Translation Table'!H241</f>
        <v>Gas produced</v>
      </c>
      <c r="E98" s="379"/>
      <c r="F98" s="140">
        <f ca="1">'Setup - IPCC Assessment'!Q408/1000</f>
        <v>0</v>
      </c>
      <c r="G98" s="151" t="s">
        <v>1154</v>
      </c>
      <c r="H98" s="150">
        <f ca="1">OFFSET('Setup - IPCC Assessment'!$L$23,(ROW('Setup - IPCC Assessment'!L56)-1)*7,0)</f>
        <v>0.56999999999999995</v>
      </c>
      <c r="I98" s="150">
        <f ca="1">OFFSET('Setup - IPCC Assessment'!$L$24,(ROW('Setup - IPCC Assessment'!L56)-1)*7,0)</f>
        <v>7.21</v>
      </c>
      <c r="J98" s="150">
        <f ca="1">OFFSET('Setup - IPCC Assessment'!$L$25,(ROW('Setup - IPCC Assessment'!L56)-1)*7,0)</f>
        <v>7.8999999999999996E-5</v>
      </c>
      <c r="K98" s="150" t="str">
        <f ca="1">OFFSET('Setup - IPCC Assessment'!$L$26,(ROW('Setup - IPCC Assessment'!L56)-1)*7,0)</f>
        <v>NA</v>
      </c>
      <c r="L98" s="150" t="str">
        <f ca="1">OFFSET('Setup - IPCC Assessment'!$L$27,(ROW('Setup - IPCC Assessment'!L56)-1)*7,0)</f>
        <v>NA</v>
      </c>
      <c r="M98" s="150">
        <f ca="1">OFFSET('Setup - IPCC Assessment'!$L$28,(ROW('Setup - IPCC Assessment'!L56)-1)*7,0)</f>
        <v>0.05</v>
      </c>
      <c r="N98" s="150" t="str">
        <f ca="1">OFFSET('Setup - IPCC Assessment'!$L$29,(ROW('Setup - IPCC Assessment'!L56)-1)*7,0)</f>
        <v>NA</v>
      </c>
      <c r="O98" s="196" t="s">
        <v>1181</v>
      </c>
      <c r="P98" s="140">
        <f t="shared" ca="1" si="25"/>
        <v>0</v>
      </c>
      <c r="Q98" s="140">
        <f t="shared" ca="1" si="25"/>
        <v>0</v>
      </c>
      <c r="R98" s="140">
        <f t="shared" ca="1" si="26"/>
        <v>0</v>
      </c>
      <c r="S98" s="140">
        <f t="shared" ca="1" si="26"/>
        <v>0</v>
      </c>
      <c r="T98" s="140">
        <f t="shared" ca="1" si="26"/>
        <v>0</v>
      </c>
      <c r="U98" s="140">
        <f t="shared" ca="1" si="26"/>
        <v>0</v>
      </c>
      <c r="V98" s="140">
        <f t="shared" ca="1" si="27"/>
        <v>0</v>
      </c>
    </row>
    <row r="99" spans="1:22" ht="32.15" customHeight="1" x14ac:dyDescent="0.3">
      <c r="A99" s="382"/>
      <c r="B99" s="383" t="str">
        <f ca="1">'Translation Table'!H166</f>
        <v>Processing All</v>
      </c>
      <c r="C99" s="384"/>
      <c r="D99" s="372" t="str">
        <f ca="1">'Translation Table'!H242</f>
        <v>Gas processed</v>
      </c>
      <c r="E99" s="373"/>
      <c r="F99" s="127">
        <f ca="1">'Setup - IPCC Assessment'!Q415/1000</f>
        <v>0</v>
      </c>
      <c r="G99" s="250" t="s">
        <v>1154</v>
      </c>
      <c r="H99" s="249" t="str">
        <f ca="1">OFFSET('Setup - IPCC Assessment'!$L$23,(ROW('Setup - IPCC Assessment'!L57)-1)*7,0)</f>
        <v>NA</v>
      </c>
      <c r="I99" s="249" t="str">
        <f ca="1">OFFSET('Setup - IPCC Assessment'!$L$24,(ROW('Setup - IPCC Assessment'!L57)-1)*7,0)</f>
        <v>NA</v>
      </c>
      <c r="J99" s="249" t="str">
        <f ca="1">OFFSET('Setup - IPCC Assessment'!$L$25,(ROW('Setup - IPCC Assessment'!L57)-1)*7,0)</f>
        <v>NA</v>
      </c>
      <c r="K99" s="249" t="str">
        <f ca="1">OFFSET('Setup - IPCC Assessment'!$L$26,(ROW('Setup - IPCC Assessment'!L57)-1)*7,0)</f>
        <v>NA</v>
      </c>
      <c r="L99" s="249" t="str">
        <f ca="1">OFFSET('Setup - IPCC Assessment'!$L$27,(ROW('Setup - IPCC Assessment'!L57)-1)*7,0)</f>
        <v>NA</v>
      </c>
      <c r="M99" s="249" t="str">
        <f ca="1">OFFSET('Setup - IPCC Assessment'!$L$28,(ROW('Setup - IPCC Assessment'!L57)-1)*7,0)</f>
        <v>NA</v>
      </c>
      <c r="N99" s="249" t="str">
        <f ca="1">OFFSET('Setup - IPCC Assessment'!$L$29,(ROW('Setup - IPCC Assessment'!L57)-1)*7,0)</f>
        <v>NA</v>
      </c>
      <c r="O99" s="251" t="s">
        <v>1181</v>
      </c>
      <c r="P99" s="127">
        <f t="shared" ref="P99:P100" ca="1" si="37">IF(OR(H99="NA",H99="ND"),0,$F99*H99)</f>
        <v>0</v>
      </c>
      <c r="Q99" s="127">
        <f t="shared" ref="Q99:U100" ca="1" si="38">IF(OR(I99="NA",I99="ND"),0,$F99*I99)</f>
        <v>0</v>
      </c>
      <c r="R99" s="127">
        <f t="shared" ca="1" si="38"/>
        <v>0</v>
      </c>
      <c r="S99" s="127">
        <f t="shared" ca="1" si="38"/>
        <v>0</v>
      </c>
      <c r="T99" s="127">
        <f t="shared" ca="1" si="38"/>
        <v>0</v>
      </c>
      <c r="U99" s="127">
        <f t="shared" ca="1" si="38"/>
        <v>0</v>
      </c>
      <c r="V99" s="127">
        <f t="shared" ref="V99:V100" ca="1" si="39">IF(OR(N99="NA",N99="ND"),0,$F99*N99)</f>
        <v>0</v>
      </c>
    </row>
    <row r="100" spans="1:22" ht="32.15" customHeight="1" x14ac:dyDescent="0.3">
      <c r="A100" s="382"/>
      <c r="B100" s="387"/>
      <c r="C100" s="388"/>
      <c r="D100" s="378" t="str">
        <f ca="1">'Translation Table'!H243</f>
        <v>Gas produced</v>
      </c>
      <c r="E100" s="379"/>
      <c r="F100" s="140">
        <f ca="1">'Setup - IPCC Assessment'!Q422/1000</f>
        <v>0</v>
      </c>
      <c r="G100" s="151" t="s">
        <v>1154</v>
      </c>
      <c r="H100" s="150" t="str">
        <f ca="1">OFFSET('Setup - IPCC Assessment'!$L$23,(ROW('Setup - IPCC Assessment'!L58)-1)*7,0)</f>
        <v>NA</v>
      </c>
      <c r="I100" s="150" t="str">
        <f ca="1">OFFSET('Setup - IPCC Assessment'!$L$24,(ROW('Setup - IPCC Assessment'!L58)-1)*7,0)</f>
        <v>NA</v>
      </c>
      <c r="J100" s="150" t="str">
        <f ca="1">OFFSET('Setup - IPCC Assessment'!$L$25,(ROW('Setup - IPCC Assessment'!L58)-1)*7,0)</f>
        <v>NA</v>
      </c>
      <c r="K100" s="150" t="str">
        <f ca="1">OFFSET('Setup - IPCC Assessment'!$L$26,(ROW('Setup - IPCC Assessment'!L58)-1)*7,0)</f>
        <v>NA</v>
      </c>
      <c r="L100" s="150" t="str">
        <f ca="1">OFFSET('Setup - IPCC Assessment'!$L$27,(ROW('Setup - IPCC Assessment'!L58)-1)*7,0)</f>
        <v>NA</v>
      </c>
      <c r="M100" s="150" t="str">
        <f ca="1">OFFSET('Setup - IPCC Assessment'!$L$28,(ROW('Setup - IPCC Assessment'!L58)-1)*7,0)</f>
        <v>NA</v>
      </c>
      <c r="N100" s="150" t="str">
        <f ca="1">OFFSET('Setup - IPCC Assessment'!$L$29,(ROW('Setup - IPCC Assessment'!L58)-1)*7,0)</f>
        <v>NA</v>
      </c>
      <c r="O100" s="196" t="s">
        <v>1181</v>
      </c>
      <c r="P100" s="140">
        <f t="shared" ca="1" si="37"/>
        <v>0</v>
      </c>
      <c r="Q100" s="140">
        <f t="shared" ca="1" si="38"/>
        <v>0</v>
      </c>
      <c r="R100" s="140">
        <f t="shared" ca="1" si="38"/>
        <v>0</v>
      </c>
      <c r="S100" s="140">
        <f t="shared" ca="1" si="38"/>
        <v>0</v>
      </c>
      <c r="T100" s="140">
        <f t="shared" ca="1" si="38"/>
        <v>0</v>
      </c>
      <c r="U100" s="140">
        <f t="shared" ca="1" si="38"/>
        <v>0</v>
      </c>
      <c r="V100" s="140">
        <f t="shared" ca="1" si="39"/>
        <v>0</v>
      </c>
    </row>
    <row r="101" spans="1:22" ht="32.15" customHeight="1" x14ac:dyDescent="0.3">
      <c r="A101" s="381"/>
      <c r="B101" s="370" t="str">
        <f ca="1">'Translation Table'!H167</f>
        <v>Sour gas (acid gas removal)</v>
      </c>
      <c r="C101" s="371"/>
      <c r="D101" s="372" t="str">
        <f ca="1">'Translation Table'!H244</f>
        <v>Sour gas processed</v>
      </c>
      <c r="E101" s="373"/>
      <c r="F101" s="127">
        <f ca="1">'Setup - IPCC Assessment'!Q429/1000</f>
        <v>0</v>
      </c>
      <c r="G101" s="250" t="s">
        <v>1154</v>
      </c>
      <c r="H101" s="249">
        <f ca="1">OFFSET('Setup - IPCC Assessment'!$L$23,(ROW('Setup - IPCC Assessment'!L59)-1)*7,0)</f>
        <v>0.1</v>
      </c>
      <c r="I101" s="249">
        <f ca="1">OFFSET('Setup - IPCC Assessment'!$L$24,(ROW('Setup - IPCC Assessment'!L59)-1)*7,0)</f>
        <v>66.7</v>
      </c>
      <c r="J101" s="249">
        <f ca="1">OFFSET('Setup - IPCC Assessment'!$L$25,(ROW('Setup - IPCC Assessment'!L59)-1)*7,0)</f>
        <v>1.3E-6</v>
      </c>
      <c r="K101" s="249" t="str">
        <f ca="1">OFFSET('Setup - IPCC Assessment'!$L$26,(ROW('Setup - IPCC Assessment'!L59)-1)*7,0)</f>
        <v>NA</v>
      </c>
      <c r="L101" s="249" t="str">
        <f ca="1">OFFSET('Setup - IPCC Assessment'!$L$27,(ROW('Setup - IPCC Assessment'!L59)-1)*7,0)</f>
        <v>NA</v>
      </c>
      <c r="M101" s="249">
        <f ca="1">OFFSET('Setup - IPCC Assessment'!$L$28,(ROW('Setup - IPCC Assessment'!L59)-1)*7,0)</f>
        <v>0.15</v>
      </c>
      <c r="N101" s="249" t="str">
        <f ca="1">OFFSET('Setup - IPCC Assessment'!$L$29,(ROW('Setup - IPCC Assessment'!L59)-1)*7,0)</f>
        <v>NA</v>
      </c>
      <c r="O101" s="251" t="s">
        <v>1181</v>
      </c>
      <c r="P101" s="127">
        <f t="shared" ca="1" si="25"/>
        <v>0</v>
      </c>
      <c r="Q101" s="127">
        <f t="shared" ca="1" si="25"/>
        <v>0</v>
      </c>
      <c r="R101" s="127">
        <f t="shared" ca="1" si="26"/>
        <v>0</v>
      </c>
      <c r="S101" s="127">
        <f t="shared" ca="1" si="26"/>
        <v>0</v>
      </c>
      <c r="T101" s="127">
        <f t="shared" ca="1" si="26"/>
        <v>0</v>
      </c>
      <c r="U101" s="127">
        <f t="shared" ca="1" si="26"/>
        <v>0</v>
      </c>
      <c r="V101" s="127">
        <f t="shared" ca="1" si="27"/>
        <v>0</v>
      </c>
    </row>
    <row r="102" spans="1:22" ht="25.15" customHeight="1" x14ac:dyDescent="0.3">
      <c r="A102" s="380" t="str">
        <f ca="1">'Translation Table'!H125</f>
        <v>Gas Transmission and Storage</v>
      </c>
      <c r="B102" s="383" t="str">
        <f ca="1">'Translation Table'!H168</f>
        <v>Transmission: Limited LDAR or less than 50% of centrifugal compressors have dry seals</v>
      </c>
      <c r="C102" s="384"/>
      <c r="D102" s="378" t="str">
        <f ca="1">'Translation Table'!H245</f>
        <v>Gas consumption</v>
      </c>
      <c r="E102" s="379"/>
      <c r="F102" s="140">
        <f ca="1">'Setup - IPCC Assessment'!Q436/1000</f>
        <v>0</v>
      </c>
      <c r="G102" s="151" t="s">
        <v>1154</v>
      </c>
      <c r="H102" s="150">
        <f ca="1">OFFSET('Setup - IPCC Assessment'!$L$23,(ROW('Setup - IPCC Assessment'!L60)-1)*7,0)</f>
        <v>3.36</v>
      </c>
      <c r="I102" s="150">
        <f ca="1">OFFSET('Setup - IPCC Assessment'!$L$24,(ROW('Setup - IPCC Assessment'!L60)-1)*7,0)</f>
        <v>0.23</v>
      </c>
      <c r="J102" s="150" t="str">
        <f ca="1">OFFSET('Setup - IPCC Assessment'!$L$25,(ROW('Setup - IPCC Assessment'!L60)-1)*7,0)</f>
        <v>NA</v>
      </c>
      <c r="K102" s="150" t="str">
        <f ca="1">OFFSET('Setup - IPCC Assessment'!$L$26,(ROW('Setup - IPCC Assessment'!L60)-1)*7,0)</f>
        <v>NA</v>
      </c>
      <c r="L102" s="150" t="str">
        <f ca="1">OFFSET('Setup - IPCC Assessment'!$L$27,(ROW('Setup - IPCC Assessment'!L60)-1)*7,0)</f>
        <v>NA</v>
      </c>
      <c r="M102" s="150">
        <f ca="1">OFFSET('Setup - IPCC Assessment'!$L$28,(ROW('Setup - IPCC Assessment'!L60)-1)*7,0)</f>
        <v>0.05</v>
      </c>
      <c r="N102" s="150" t="str">
        <f ca="1">OFFSET('Setup - IPCC Assessment'!$L$29,(ROW('Setup - IPCC Assessment'!L60)-1)*7,0)</f>
        <v>NA</v>
      </c>
      <c r="O102" s="196" t="s">
        <v>1181</v>
      </c>
      <c r="P102" s="140">
        <f t="shared" ca="1" si="25"/>
        <v>0</v>
      </c>
      <c r="Q102" s="140">
        <f t="shared" ca="1" si="25"/>
        <v>0</v>
      </c>
      <c r="R102" s="140">
        <f t="shared" ca="1" si="26"/>
        <v>0</v>
      </c>
      <c r="S102" s="140">
        <f t="shared" ca="1" si="26"/>
        <v>0</v>
      </c>
      <c r="T102" s="140">
        <f t="shared" ca="1" si="26"/>
        <v>0</v>
      </c>
      <c r="U102" s="140">
        <f t="shared" ca="1" si="26"/>
        <v>0</v>
      </c>
      <c r="V102" s="140">
        <f t="shared" ca="1" si="27"/>
        <v>0</v>
      </c>
    </row>
    <row r="103" spans="1:22" ht="25.15" customHeight="1" x14ac:dyDescent="0.3">
      <c r="A103" s="382"/>
      <c r="B103" s="387"/>
      <c r="C103" s="388"/>
      <c r="D103" s="372" t="str">
        <f ca="1">'Translation Table'!H246</f>
        <v>Kilometre pipeline</v>
      </c>
      <c r="E103" s="373"/>
      <c r="F103" s="127">
        <f>'Setup - IPCC Assessment'!Q443</f>
        <v>0</v>
      </c>
      <c r="G103" s="255" t="str">
        <f>'Setup - IPCC Assessment'!H443</f>
        <v>km</v>
      </c>
      <c r="H103" s="249">
        <f ca="1">OFFSET('Setup - IPCC Assessment'!$L$23,(ROW('Setup - IPCC Assessment'!L61)-1)*7,0)</f>
        <v>4.0999999999999996</v>
      </c>
      <c r="I103" s="249">
        <f ca="1">OFFSET('Setup - IPCC Assessment'!$L$24,(ROW('Setup - IPCC Assessment'!L61)-1)*7,0)</f>
        <v>0.28000000000000003</v>
      </c>
      <c r="J103" s="249" t="str">
        <f ca="1">OFFSET('Setup - IPCC Assessment'!$L$25,(ROW('Setup - IPCC Assessment'!L61)-1)*7,0)</f>
        <v>NA</v>
      </c>
      <c r="K103" s="249" t="str">
        <f ca="1">OFFSET('Setup - IPCC Assessment'!$L$26,(ROW('Setup - IPCC Assessment'!L61)-1)*7,0)</f>
        <v>NA</v>
      </c>
      <c r="L103" s="249" t="str">
        <f ca="1">OFFSET('Setup - IPCC Assessment'!$L$27,(ROW('Setup - IPCC Assessment'!L61)-1)*7,0)</f>
        <v>NA</v>
      </c>
      <c r="M103" s="249">
        <f ca="1">OFFSET('Setup - IPCC Assessment'!$L$28,(ROW('Setup - IPCC Assessment'!L61)-1)*7,0)</f>
        <v>0.06</v>
      </c>
      <c r="N103" s="249" t="str">
        <f ca="1">OFFSET('Setup - IPCC Assessment'!$L$29,(ROW('Setup - IPCC Assessment'!L61)-1)*7,0)</f>
        <v>NA</v>
      </c>
      <c r="O103" s="127" t="str">
        <f ca="1">OFFSET('Setup - IPCC Assessment'!$M$23,(ROW('Setup - IPCC Assessment'!M61)-1)*7,0)</f>
        <v>tonnes/km</v>
      </c>
      <c r="P103" s="127">
        <f t="shared" ca="1" si="25"/>
        <v>0</v>
      </c>
      <c r="Q103" s="127">
        <f t="shared" ca="1" si="25"/>
        <v>0</v>
      </c>
      <c r="R103" s="127">
        <f t="shared" ca="1" si="26"/>
        <v>0</v>
      </c>
      <c r="S103" s="127">
        <f t="shared" ca="1" si="26"/>
        <v>0</v>
      </c>
      <c r="T103" s="127">
        <f t="shared" ca="1" si="26"/>
        <v>0</v>
      </c>
      <c r="U103" s="127">
        <f t="shared" ca="1" si="26"/>
        <v>0</v>
      </c>
      <c r="V103" s="127">
        <f t="shared" ca="1" si="27"/>
        <v>0</v>
      </c>
    </row>
    <row r="104" spans="1:22" ht="25.15" customHeight="1" x14ac:dyDescent="0.3">
      <c r="A104" s="382"/>
      <c r="B104" s="383" t="str">
        <f ca="1">'Translation Table'!H169</f>
        <v>Transmission: Extensive LDAR, and around 50% or more of centrifugal compressors have dry seals</v>
      </c>
      <c r="C104" s="384"/>
      <c r="D104" s="378" t="str">
        <f ca="1">'Translation Table'!H247</f>
        <v>Gas consumption</v>
      </c>
      <c r="E104" s="379"/>
      <c r="F104" s="140">
        <f ca="1">'Setup - IPCC Assessment'!Q450/1000</f>
        <v>0</v>
      </c>
      <c r="G104" s="151" t="s">
        <v>1154</v>
      </c>
      <c r="H104" s="150">
        <f ca="1">OFFSET('Setup - IPCC Assessment'!$L$23,(ROW('Setup - IPCC Assessment'!L62)-1)*7,0)</f>
        <v>1.29</v>
      </c>
      <c r="I104" s="150">
        <f ca="1">OFFSET('Setup - IPCC Assessment'!$L$24,(ROW('Setup - IPCC Assessment'!L62)-1)*7,0)</f>
        <v>0.15</v>
      </c>
      <c r="J104" s="150" t="str">
        <f ca="1">OFFSET('Setup - IPCC Assessment'!$L$25,(ROW('Setup - IPCC Assessment'!L62)-1)*7,0)</f>
        <v>NA</v>
      </c>
      <c r="K104" s="150" t="str">
        <f ca="1">OFFSET('Setup - IPCC Assessment'!$L$26,(ROW('Setup - IPCC Assessment'!L62)-1)*7,0)</f>
        <v>NA</v>
      </c>
      <c r="L104" s="150" t="str">
        <f ca="1">OFFSET('Setup - IPCC Assessment'!$L$27,(ROW('Setup - IPCC Assessment'!L62)-1)*7,0)</f>
        <v>NA</v>
      </c>
      <c r="M104" s="150">
        <f ca="1">OFFSET('Setup - IPCC Assessment'!$L$28,(ROW('Setup - IPCC Assessment'!L62)-1)*7,0)</f>
        <v>0.02</v>
      </c>
      <c r="N104" s="150" t="str">
        <f ca="1">OFFSET('Setup - IPCC Assessment'!$L$29,(ROW('Setup - IPCC Assessment'!L62)-1)*7,0)</f>
        <v>NA</v>
      </c>
      <c r="O104" s="196" t="s">
        <v>1181</v>
      </c>
      <c r="P104" s="140">
        <f t="shared" ca="1" si="25"/>
        <v>0</v>
      </c>
      <c r="Q104" s="140">
        <f t="shared" ca="1" si="25"/>
        <v>0</v>
      </c>
      <c r="R104" s="140">
        <f t="shared" ca="1" si="26"/>
        <v>0</v>
      </c>
      <c r="S104" s="140">
        <f t="shared" ca="1" si="26"/>
        <v>0</v>
      </c>
      <c r="T104" s="140">
        <f t="shared" ca="1" si="26"/>
        <v>0</v>
      </c>
      <c r="U104" s="140">
        <f t="shared" ca="1" si="26"/>
        <v>0</v>
      </c>
      <c r="V104" s="140">
        <f t="shared" ca="1" si="27"/>
        <v>0</v>
      </c>
    </row>
    <row r="105" spans="1:22" ht="25.15" customHeight="1" x14ac:dyDescent="0.3">
      <c r="A105" s="382"/>
      <c r="B105" s="387"/>
      <c r="C105" s="388"/>
      <c r="D105" s="372" t="str">
        <f ca="1">'Translation Table'!H248</f>
        <v>Kilometre pipeline</v>
      </c>
      <c r="E105" s="373"/>
      <c r="F105" s="127">
        <f>'Setup - IPCC Assessment'!Q457</f>
        <v>0</v>
      </c>
      <c r="G105" s="255" t="str">
        <f>'Setup - IPCC Assessment'!H457</f>
        <v>km</v>
      </c>
      <c r="H105" s="249">
        <f ca="1">OFFSET('Setup - IPCC Assessment'!$L$23,(ROW('Setup - IPCC Assessment'!L63)-1)*7,0)</f>
        <v>2.08</v>
      </c>
      <c r="I105" s="249">
        <f ca="1">OFFSET('Setup - IPCC Assessment'!$L$24,(ROW('Setup - IPCC Assessment'!L63)-1)*7,0)</f>
        <v>0.25</v>
      </c>
      <c r="J105" s="249" t="str">
        <f ca="1">OFFSET('Setup - IPCC Assessment'!$L$25,(ROW('Setup - IPCC Assessment'!L63)-1)*7,0)</f>
        <v>NA</v>
      </c>
      <c r="K105" s="249" t="str">
        <f ca="1">OFFSET('Setup - IPCC Assessment'!$L$26,(ROW('Setup - IPCC Assessment'!L63)-1)*7,0)</f>
        <v>NA</v>
      </c>
      <c r="L105" s="249" t="str">
        <f ca="1">OFFSET('Setup - IPCC Assessment'!$L$27,(ROW('Setup - IPCC Assessment'!L63)-1)*7,0)</f>
        <v>NA</v>
      </c>
      <c r="M105" s="249">
        <f ca="1">OFFSET('Setup - IPCC Assessment'!$L$28,(ROW('Setup - IPCC Assessment'!L63)-1)*7,0)</f>
        <v>0.03</v>
      </c>
      <c r="N105" s="249" t="str">
        <f ca="1">OFFSET('Setup - IPCC Assessment'!$L$29,(ROW('Setup - IPCC Assessment'!L63)-1)*7,0)</f>
        <v>NA</v>
      </c>
      <c r="O105" s="127" t="str">
        <f ca="1">OFFSET('Setup - IPCC Assessment'!$M$23,(ROW('Setup - IPCC Assessment'!M63)-1)*7,0)</f>
        <v>tonnes/km</v>
      </c>
      <c r="P105" s="127">
        <f t="shared" ca="1" si="25"/>
        <v>0</v>
      </c>
      <c r="Q105" s="127">
        <f t="shared" ca="1" si="25"/>
        <v>0</v>
      </c>
      <c r="R105" s="127">
        <f t="shared" ca="1" si="26"/>
        <v>0</v>
      </c>
      <c r="S105" s="127">
        <f t="shared" ca="1" si="26"/>
        <v>0</v>
      </c>
      <c r="T105" s="127">
        <f t="shared" ca="1" si="26"/>
        <v>0</v>
      </c>
      <c r="U105" s="127">
        <f t="shared" ca="1" si="26"/>
        <v>0</v>
      </c>
      <c r="V105" s="127">
        <f t="shared" ca="1" si="27"/>
        <v>0</v>
      </c>
    </row>
    <row r="106" spans="1:22" ht="25.15" customHeight="1" x14ac:dyDescent="0.3">
      <c r="A106" s="382"/>
      <c r="B106" s="383" t="str">
        <f ca="1">'Translation Table'!H170</f>
        <v>Transmission All</v>
      </c>
      <c r="C106" s="384"/>
      <c r="D106" s="378" t="str">
        <f ca="1">'Translation Table'!H249</f>
        <v>Gas consumption</v>
      </c>
      <c r="E106" s="379"/>
      <c r="F106" s="140">
        <f ca="1">'Setup - IPCC Assessment'!Q464/1000</f>
        <v>0</v>
      </c>
      <c r="G106" s="151" t="s">
        <v>1154</v>
      </c>
      <c r="H106" s="150" t="str">
        <f ca="1">OFFSET('Setup - IPCC Assessment'!$L$23,(ROW('Setup - IPCC Assessment'!L64)-1)*7,0)</f>
        <v>NA</v>
      </c>
      <c r="I106" s="150" t="str">
        <f ca="1">OFFSET('Setup - IPCC Assessment'!$L$24,(ROW('Setup - IPCC Assessment'!L64)-1)*7,0)</f>
        <v>NA</v>
      </c>
      <c r="J106" s="150" t="str">
        <f ca="1">OFFSET('Setup - IPCC Assessment'!$L$25,(ROW('Setup - IPCC Assessment'!L64)-1)*7,0)</f>
        <v>NA</v>
      </c>
      <c r="K106" s="150" t="str">
        <f ca="1">OFFSET('Setup - IPCC Assessment'!$L$26,(ROW('Setup - IPCC Assessment'!L64)-1)*7,0)</f>
        <v>NA</v>
      </c>
      <c r="L106" s="150" t="str">
        <f ca="1">OFFSET('Setup - IPCC Assessment'!$L$27,(ROW('Setup - IPCC Assessment'!L64)-1)*7,0)</f>
        <v>NA</v>
      </c>
      <c r="M106" s="150" t="str">
        <f ca="1">OFFSET('Setup - IPCC Assessment'!$L$28,(ROW('Setup - IPCC Assessment'!L64)-1)*7,0)</f>
        <v>NA</v>
      </c>
      <c r="N106" s="150" t="str">
        <f ca="1">OFFSET('Setup - IPCC Assessment'!$L$29,(ROW('Setup - IPCC Assessment'!L64)-1)*7,0)</f>
        <v>NA</v>
      </c>
      <c r="O106" s="196" t="s">
        <v>1181</v>
      </c>
      <c r="P106" s="140">
        <f t="shared" ref="P106:P107" ca="1" si="40">IF(OR(H106="NA",H106="ND"),0,$F106*H106)</f>
        <v>0</v>
      </c>
      <c r="Q106" s="140">
        <f t="shared" ref="Q106:U107" ca="1" si="41">IF(OR(I106="NA",I106="ND"),0,$F106*I106)</f>
        <v>0</v>
      </c>
      <c r="R106" s="140">
        <f t="shared" ca="1" si="41"/>
        <v>0</v>
      </c>
      <c r="S106" s="140">
        <f t="shared" ca="1" si="41"/>
        <v>0</v>
      </c>
      <c r="T106" s="140">
        <f t="shared" ca="1" si="41"/>
        <v>0</v>
      </c>
      <c r="U106" s="140">
        <f t="shared" ca="1" si="41"/>
        <v>0</v>
      </c>
      <c r="V106" s="140">
        <f t="shared" ref="V106:V107" ca="1" si="42">IF(OR(N106="NA",N106="ND"),0,$F106*N106)</f>
        <v>0</v>
      </c>
    </row>
    <row r="107" spans="1:22" ht="25.15" customHeight="1" x14ac:dyDescent="0.3">
      <c r="A107" s="382"/>
      <c r="B107" s="387"/>
      <c r="C107" s="388"/>
      <c r="D107" s="372" t="str">
        <f ca="1">'Translation Table'!H250</f>
        <v>Kilometre pipeline</v>
      </c>
      <c r="E107" s="373"/>
      <c r="F107" s="127">
        <f>'Setup - IPCC Assessment'!Q471</f>
        <v>0</v>
      </c>
      <c r="G107" s="255" t="str">
        <f>'Setup - IPCC Assessment'!H471</f>
        <v>km</v>
      </c>
      <c r="H107" s="249" t="str">
        <f ca="1">OFFSET('Setup - IPCC Assessment'!$L$23,(ROW('Setup - IPCC Assessment'!L65)-1)*7,0)</f>
        <v>NA</v>
      </c>
      <c r="I107" s="249" t="str">
        <f ca="1">OFFSET('Setup - IPCC Assessment'!$L$24,(ROW('Setup - IPCC Assessment'!L65)-1)*7,0)</f>
        <v>NA</v>
      </c>
      <c r="J107" s="249" t="str">
        <f ca="1">OFFSET('Setup - IPCC Assessment'!$L$25,(ROW('Setup - IPCC Assessment'!L65)-1)*7,0)</f>
        <v>NA</v>
      </c>
      <c r="K107" s="249" t="str">
        <f ca="1">OFFSET('Setup - IPCC Assessment'!$L$26,(ROW('Setup - IPCC Assessment'!L65)-1)*7,0)</f>
        <v>NA</v>
      </c>
      <c r="L107" s="249" t="str">
        <f ca="1">OFFSET('Setup - IPCC Assessment'!$L$27,(ROW('Setup - IPCC Assessment'!L65)-1)*7,0)</f>
        <v>NA</v>
      </c>
      <c r="M107" s="249" t="str">
        <f ca="1">OFFSET('Setup - IPCC Assessment'!$L$28,(ROW('Setup - IPCC Assessment'!L65)-1)*7,0)</f>
        <v>NA</v>
      </c>
      <c r="N107" s="249" t="str">
        <f ca="1">OFFSET('Setup - IPCC Assessment'!$L$29,(ROW('Setup - IPCC Assessment'!L65)-1)*7,0)</f>
        <v>NA</v>
      </c>
      <c r="O107" s="127" t="str">
        <f ca="1">OFFSET('Setup - IPCC Assessment'!$M$23,(ROW('Setup - IPCC Assessment'!M65)-1)*7,0)</f>
        <v>tonnes/km</v>
      </c>
      <c r="P107" s="127">
        <f t="shared" ca="1" si="40"/>
        <v>0</v>
      </c>
      <c r="Q107" s="127">
        <f t="shared" ca="1" si="41"/>
        <v>0</v>
      </c>
      <c r="R107" s="127">
        <f t="shared" ca="1" si="41"/>
        <v>0</v>
      </c>
      <c r="S107" s="127">
        <f t="shared" ca="1" si="41"/>
        <v>0</v>
      </c>
      <c r="T107" s="127">
        <f t="shared" ca="1" si="41"/>
        <v>0</v>
      </c>
      <c r="U107" s="127">
        <f t="shared" ca="1" si="41"/>
        <v>0</v>
      </c>
      <c r="V107" s="127">
        <f t="shared" ca="1" si="42"/>
        <v>0</v>
      </c>
    </row>
    <row r="108" spans="1:22" ht="50.25" customHeight="1" x14ac:dyDescent="0.3">
      <c r="A108" s="382"/>
      <c r="B108" s="370" t="str">
        <f ca="1">'Translation Table'!H171</f>
        <v>Storage: Limited LDAR or most activities occurring with higher- emitting technologies and practices</v>
      </c>
      <c r="C108" s="371"/>
      <c r="D108" s="378" t="str">
        <f ca="1">'Translation Table'!H251</f>
        <v>Gas consumption</v>
      </c>
      <c r="E108" s="379"/>
      <c r="F108" s="140">
        <f ca="1">'Setup - IPCC Assessment'!Q478/1000</f>
        <v>0</v>
      </c>
      <c r="G108" s="151" t="s">
        <v>1154</v>
      </c>
      <c r="H108" s="150">
        <f ca="1">OFFSET('Setup - IPCC Assessment'!$L$23,(ROW('Setup - IPCC Assessment'!L66)-1)*7,0)</f>
        <v>0.67</v>
      </c>
      <c r="I108" s="150">
        <f ca="1">OFFSET('Setup - IPCC Assessment'!$L$24,(ROW('Setup - IPCC Assessment'!L66)-1)*7,0)</f>
        <v>0.06</v>
      </c>
      <c r="J108" s="150" t="str">
        <f ca="1">OFFSET('Setup - IPCC Assessment'!$L$25,(ROW('Setup - IPCC Assessment'!L66)-1)*7,0)</f>
        <v>NA</v>
      </c>
      <c r="K108" s="150" t="str">
        <f ca="1">OFFSET('Setup - IPCC Assessment'!$L$26,(ROW('Setup - IPCC Assessment'!L66)-1)*7,0)</f>
        <v>NA</v>
      </c>
      <c r="L108" s="150" t="str">
        <f ca="1">OFFSET('Setup - IPCC Assessment'!$L$27,(ROW('Setup - IPCC Assessment'!L66)-1)*7,0)</f>
        <v>NA</v>
      </c>
      <c r="M108" s="150">
        <f ca="1">OFFSET('Setup - IPCC Assessment'!$L$28,(ROW('Setup - IPCC Assessment'!L66)-1)*7,0)</f>
        <v>9.4000000000000004E-3</v>
      </c>
      <c r="N108" s="150" t="str">
        <f ca="1">OFFSET('Setup - IPCC Assessment'!$L$29,(ROW('Setup - IPCC Assessment'!L66)-1)*7,0)</f>
        <v>NA</v>
      </c>
      <c r="O108" s="196" t="s">
        <v>1181</v>
      </c>
      <c r="P108" s="140">
        <f t="shared" ca="1" si="25"/>
        <v>0</v>
      </c>
      <c r="Q108" s="140">
        <f t="shared" ca="1" si="25"/>
        <v>0</v>
      </c>
      <c r="R108" s="140">
        <f t="shared" ca="1" si="26"/>
        <v>0</v>
      </c>
      <c r="S108" s="140">
        <f t="shared" ca="1" si="26"/>
        <v>0</v>
      </c>
      <c r="T108" s="140">
        <f t="shared" ca="1" si="26"/>
        <v>0</v>
      </c>
      <c r="U108" s="140">
        <f t="shared" ca="1" si="26"/>
        <v>0</v>
      </c>
      <c r="V108" s="140">
        <f t="shared" ca="1" si="27"/>
        <v>0</v>
      </c>
    </row>
    <row r="109" spans="1:22" ht="32.15" customHeight="1" x14ac:dyDescent="0.3">
      <c r="A109" s="382"/>
      <c r="B109" s="370" t="str">
        <f ca="1">'Translation Table'!H172</f>
        <v>Storage: Extensive LDAR and lower-emitting technologies and practices</v>
      </c>
      <c r="C109" s="371"/>
      <c r="D109" s="372" t="str">
        <f ca="1">'Translation Table'!H252</f>
        <v>Gas consumption</v>
      </c>
      <c r="E109" s="373"/>
      <c r="F109" s="127">
        <f ca="1">'Setup - IPCC Assessment'!Q485/1000</f>
        <v>0</v>
      </c>
      <c r="G109" s="250" t="s">
        <v>1154</v>
      </c>
      <c r="H109" s="249">
        <f ca="1">OFFSET('Setup - IPCC Assessment'!$L$23,(ROW('Setup - IPCC Assessment'!L67)-1)*7,0)</f>
        <v>0.28999999999999998</v>
      </c>
      <c r="I109" s="249">
        <f ca="1">OFFSET('Setup - IPCC Assessment'!$L$24,(ROW('Setup - IPCC Assessment'!L67)-1)*7,0)</f>
        <v>0.04</v>
      </c>
      <c r="J109" s="249" t="str">
        <f ca="1">OFFSET('Setup - IPCC Assessment'!$L$25,(ROW('Setup - IPCC Assessment'!L67)-1)*7,0)</f>
        <v>NA</v>
      </c>
      <c r="K109" s="249" t="str">
        <f ca="1">OFFSET('Setup - IPCC Assessment'!$L$26,(ROW('Setup - IPCC Assessment'!L67)-1)*7,0)</f>
        <v>NA</v>
      </c>
      <c r="L109" s="249" t="str">
        <f ca="1">OFFSET('Setup - IPCC Assessment'!$L$27,(ROW('Setup - IPCC Assessment'!L67)-1)*7,0)</f>
        <v>NA</v>
      </c>
      <c r="M109" s="249">
        <f ca="1">OFFSET('Setup - IPCC Assessment'!$L$28,(ROW('Setup - IPCC Assessment'!L67)-1)*7,0)</f>
        <v>4.0000000000000001E-3</v>
      </c>
      <c r="N109" s="249" t="str">
        <f ca="1">OFFSET('Setup - IPCC Assessment'!$L$29,(ROW('Setup - IPCC Assessment'!L67)-1)*7,0)</f>
        <v>NA</v>
      </c>
      <c r="O109" s="251" t="s">
        <v>1181</v>
      </c>
      <c r="P109" s="127">
        <f t="shared" ca="1" si="25"/>
        <v>0</v>
      </c>
      <c r="Q109" s="127">
        <f t="shared" ca="1" si="25"/>
        <v>0</v>
      </c>
      <c r="R109" s="127">
        <f t="shared" ca="1" si="26"/>
        <v>0</v>
      </c>
      <c r="S109" s="127">
        <f t="shared" ca="1" si="26"/>
        <v>0</v>
      </c>
      <c r="T109" s="127">
        <f t="shared" ca="1" si="26"/>
        <v>0</v>
      </c>
      <c r="U109" s="127">
        <f t="shared" ca="1" si="26"/>
        <v>0</v>
      </c>
      <c r="V109" s="127">
        <f t="shared" ca="1" si="27"/>
        <v>0</v>
      </c>
    </row>
    <row r="110" spans="1:22" ht="15" customHeight="1" x14ac:dyDescent="0.3">
      <c r="A110" s="382"/>
      <c r="B110" s="370" t="str">
        <f ca="1">'Translation Table'!H173</f>
        <v>LNG: Import/Export</v>
      </c>
      <c r="C110" s="371"/>
      <c r="D110" s="378" t="str">
        <f ca="1">'Translation Table'!H253</f>
        <v>Station</v>
      </c>
      <c r="E110" s="379"/>
      <c r="F110" s="140">
        <f>'Setup - IPCC Assessment'!Q492</f>
        <v>0</v>
      </c>
      <c r="G110" s="152" t="str">
        <f ca="1">'Setup - IPCC Assessment'!H492</f>
        <v>Station Count</v>
      </c>
      <c r="H110" s="150">
        <f ca="1">OFFSET('Setup - IPCC Assessment'!$L$23,(ROW('Setup - IPCC Assessment'!L68)-1)*7,0)</f>
        <v>1660</v>
      </c>
      <c r="I110" s="150">
        <f ca="1">OFFSET('Setup - IPCC Assessment'!$L$24,(ROW('Setup - IPCC Assessment'!L68)-1)*7,0)</f>
        <v>14687</v>
      </c>
      <c r="J110" s="150" t="str">
        <f ca="1">OFFSET('Setup - IPCC Assessment'!$L$25,(ROW('Setup - IPCC Assessment'!L68)-1)*7,0)</f>
        <v>NA</v>
      </c>
      <c r="K110" s="150" t="str">
        <f ca="1">OFFSET('Setup - IPCC Assessment'!$L$26,(ROW('Setup - IPCC Assessment'!L68)-1)*7,0)</f>
        <v>NA</v>
      </c>
      <c r="L110" s="150" t="str">
        <f ca="1">OFFSET('Setup - IPCC Assessment'!$L$27,(ROW('Setup - IPCC Assessment'!L68)-1)*7,0)</f>
        <v>NA</v>
      </c>
      <c r="M110" s="150" t="str">
        <f ca="1">OFFSET('Setup - IPCC Assessment'!$L$28,(ROW('Setup - IPCC Assessment'!L68)-1)*7,0)</f>
        <v>NA</v>
      </c>
      <c r="N110" s="150" t="str">
        <f ca="1">OFFSET('Setup - IPCC Assessment'!$L$29,(ROW('Setup - IPCC Assessment'!L68)-1)*7,0)</f>
        <v>NA</v>
      </c>
      <c r="O110" s="140" t="str">
        <f ca="1">OFFSET('Setup - IPCC Assessment'!$M$23,(ROW('Setup - IPCC Assessment'!M68)-1)*7,0)</f>
        <v>tonnes/y/station</v>
      </c>
      <c r="P110" s="140">
        <f t="shared" ca="1" si="25"/>
        <v>0</v>
      </c>
      <c r="Q110" s="140">
        <f t="shared" ca="1" si="25"/>
        <v>0</v>
      </c>
      <c r="R110" s="140">
        <f t="shared" ca="1" si="26"/>
        <v>0</v>
      </c>
      <c r="S110" s="140">
        <f t="shared" ca="1" si="26"/>
        <v>0</v>
      </c>
      <c r="T110" s="140">
        <f t="shared" ca="1" si="26"/>
        <v>0</v>
      </c>
      <c r="U110" s="140">
        <f t="shared" ca="1" si="26"/>
        <v>0</v>
      </c>
      <c r="V110" s="140">
        <f t="shared" ca="1" si="27"/>
        <v>0</v>
      </c>
    </row>
    <row r="111" spans="1:22" ht="15" customHeight="1" x14ac:dyDescent="0.3">
      <c r="A111" s="381"/>
      <c r="B111" s="370" t="str">
        <f ca="1">'Translation Table'!H174</f>
        <v>LNG: Storage</v>
      </c>
      <c r="C111" s="371"/>
      <c r="D111" s="372" t="str">
        <f ca="1">'Translation Table'!H254</f>
        <v>Station</v>
      </c>
      <c r="E111" s="373"/>
      <c r="F111" s="127">
        <f>'Setup - IPCC Assessment'!Q499</f>
        <v>0</v>
      </c>
      <c r="G111" s="255" t="str">
        <f ca="1">'Setup - IPCC Assessment'!H499</f>
        <v>Station Count</v>
      </c>
      <c r="H111" s="249">
        <f ca="1">OFFSET('Setup - IPCC Assessment'!$L$23,(ROW('Setup - IPCC Assessment'!L69)-1)*7,0)</f>
        <v>22</v>
      </c>
      <c r="I111" s="249">
        <f ca="1">OFFSET('Setup - IPCC Assessment'!$L$24,(ROW('Setup - IPCC Assessment'!L69)-1)*7,0)</f>
        <v>277</v>
      </c>
      <c r="J111" s="249" t="str">
        <f ca="1">OFFSET('Setup - IPCC Assessment'!$L$25,(ROW('Setup - IPCC Assessment'!L69)-1)*7,0)</f>
        <v>NA</v>
      </c>
      <c r="K111" s="249" t="str">
        <f ca="1">OFFSET('Setup - IPCC Assessment'!$L$26,(ROW('Setup - IPCC Assessment'!L69)-1)*7,0)</f>
        <v>NA</v>
      </c>
      <c r="L111" s="249" t="str">
        <f ca="1">OFFSET('Setup - IPCC Assessment'!$L$27,(ROW('Setup - IPCC Assessment'!L69)-1)*7,0)</f>
        <v>NA</v>
      </c>
      <c r="M111" s="249" t="str">
        <f ca="1">OFFSET('Setup - IPCC Assessment'!$L$28,(ROW('Setup - IPCC Assessment'!L69)-1)*7,0)</f>
        <v>NA</v>
      </c>
      <c r="N111" s="249" t="str">
        <f ca="1">OFFSET('Setup - IPCC Assessment'!$L$29,(ROW('Setup - IPCC Assessment'!L69)-1)*7,0)</f>
        <v>NA</v>
      </c>
      <c r="O111" s="127" t="str">
        <f ca="1">OFFSET('Setup - IPCC Assessment'!$M$23,(ROW('Setup - IPCC Assessment'!M69)-1)*7,0)</f>
        <v>tonnes/y/station</v>
      </c>
      <c r="P111" s="127">
        <f t="shared" ca="1" si="25"/>
        <v>0</v>
      </c>
      <c r="Q111" s="127">
        <f t="shared" ca="1" si="25"/>
        <v>0</v>
      </c>
      <c r="R111" s="127">
        <f t="shared" ca="1" si="26"/>
        <v>0</v>
      </c>
      <c r="S111" s="127">
        <f t="shared" ca="1" si="26"/>
        <v>0</v>
      </c>
      <c r="T111" s="127">
        <f t="shared" ca="1" si="26"/>
        <v>0</v>
      </c>
      <c r="U111" s="127">
        <f t="shared" ca="1" si="26"/>
        <v>0</v>
      </c>
      <c r="V111" s="127">
        <f t="shared" ca="1" si="27"/>
        <v>0</v>
      </c>
    </row>
    <row r="112" spans="1:22" ht="25.15" customHeight="1" x14ac:dyDescent="0.3">
      <c r="A112" s="380" t="str">
        <f ca="1">'Translation Table'!H126</f>
        <v>Gas Distribution</v>
      </c>
      <c r="B112" s="383" t="str">
        <f ca="1">'Translation Table'!H175</f>
        <v>Less than 50% plastic pipelines, or limited or no leak detection and repair programs</v>
      </c>
      <c r="C112" s="384"/>
      <c r="D112" s="378" t="str">
        <f ca="1">'Translation Table'!H255</f>
        <v>Gas consumption</v>
      </c>
      <c r="E112" s="379"/>
      <c r="F112" s="140">
        <f ca="1">'Setup - IPCC Assessment'!Q506/1000</f>
        <v>0</v>
      </c>
      <c r="G112" s="151" t="s">
        <v>1154</v>
      </c>
      <c r="H112" s="150">
        <f ca="1">OFFSET('Setup - IPCC Assessment'!$L$23,(ROW('Setup - IPCC Assessment'!L70)-1)*7,0)</f>
        <v>2.92</v>
      </c>
      <c r="I112" s="150">
        <f ca="1">OFFSET('Setup - IPCC Assessment'!$L$24,(ROW('Setup - IPCC Assessment'!L70)-1)*7,0)</f>
        <v>0.09</v>
      </c>
      <c r="J112" s="150" t="str">
        <f ca="1">OFFSET('Setup - IPCC Assessment'!$L$25,(ROW('Setup - IPCC Assessment'!L70)-1)*7,0)</f>
        <v>NA</v>
      </c>
      <c r="K112" s="150" t="str">
        <f ca="1">OFFSET('Setup - IPCC Assessment'!$L$26,(ROW('Setup - IPCC Assessment'!L70)-1)*7,0)</f>
        <v>NA</v>
      </c>
      <c r="L112" s="150" t="str">
        <f ca="1">OFFSET('Setup - IPCC Assessment'!$L$27,(ROW('Setup - IPCC Assessment'!L70)-1)*7,0)</f>
        <v>NA</v>
      </c>
      <c r="M112" s="150">
        <f ca="1">OFFSET('Setup - IPCC Assessment'!$L$28,(ROW('Setup - IPCC Assessment'!L70)-1)*7,0)</f>
        <v>4.1000000000000002E-2</v>
      </c>
      <c r="N112" s="150" t="str">
        <f ca="1">OFFSET('Setup - IPCC Assessment'!$L$29,(ROW('Setup - IPCC Assessment'!L70)-1)*7,0)</f>
        <v>NA</v>
      </c>
      <c r="O112" s="196" t="s">
        <v>1181</v>
      </c>
      <c r="P112" s="140">
        <f t="shared" ca="1" si="25"/>
        <v>0</v>
      </c>
      <c r="Q112" s="140">
        <f t="shared" ca="1" si="25"/>
        <v>0</v>
      </c>
      <c r="R112" s="140">
        <f t="shared" ca="1" si="26"/>
        <v>0</v>
      </c>
      <c r="S112" s="140">
        <f t="shared" ca="1" si="26"/>
        <v>0</v>
      </c>
      <c r="T112" s="140">
        <f t="shared" ca="1" si="26"/>
        <v>0</v>
      </c>
      <c r="U112" s="140">
        <f t="shared" ca="1" si="26"/>
        <v>0</v>
      </c>
      <c r="V112" s="140">
        <f t="shared" ca="1" si="27"/>
        <v>0</v>
      </c>
    </row>
    <row r="113" spans="1:22" ht="25.15" customHeight="1" x14ac:dyDescent="0.3">
      <c r="A113" s="382"/>
      <c r="B113" s="387"/>
      <c r="C113" s="388"/>
      <c r="D113" s="372" t="str">
        <f ca="1">'Translation Table'!H256</f>
        <v>Kilometre of pipeline</v>
      </c>
      <c r="E113" s="373"/>
      <c r="F113" s="127">
        <f>'Setup - IPCC Assessment'!Q513</f>
        <v>0</v>
      </c>
      <c r="G113" s="255" t="str">
        <f>'Setup - IPCC Assessment'!H513</f>
        <v>km</v>
      </c>
      <c r="H113" s="249">
        <f ca="1">OFFSET('Setup - IPCC Assessment'!$L$23,(ROW('Setup - IPCC Assessment'!L71)-1)*7,0)</f>
        <v>1.17</v>
      </c>
      <c r="I113" s="249">
        <f ca="1">OFFSET('Setup - IPCC Assessment'!$L$24,(ROW('Setup - IPCC Assessment'!L71)-1)*7,0)</f>
        <v>0.03</v>
      </c>
      <c r="J113" s="249" t="str">
        <f ca="1">OFFSET('Setup - IPCC Assessment'!$L$25,(ROW('Setup - IPCC Assessment'!L71)-1)*7,0)</f>
        <v>NA</v>
      </c>
      <c r="K113" s="249" t="str">
        <f ca="1">OFFSET('Setup - IPCC Assessment'!$L$26,(ROW('Setup - IPCC Assessment'!L71)-1)*7,0)</f>
        <v>NA</v>
      </c>
      <c r="L113" s="249" t="str">
        <f ca="1">OFFSET('Setup - IPCC Assessment'!$L$27,(ROW('Setup - IPCC Assessment'!L71)-1)*7,0)</f>
        <v>NA</v>
      </c>
      <c r="M113" s="249">
        <f ca="1">OFFSET('Setup - IPCC Assessment'!$L$28,(ROW('Setup - IPCC Assessment'!L71)-1)*7,0)</f>
        <v>1.6E-2</v>
      </c>
      <c r="N113" s="249" t="str">
        <f ca="1">OFFSET('Setup - IPCC Assessment'!$L$29,(ROW('Setup - IPCC Assessment'!L71)-1)*7,0)</f>
        <v>NA</v>
      </c>
      <c r="O113" s="127" t="str">
        <f ca="1">OFFSET('Setup - IPCC Assessment'!$M$23,(ROW('Setup - IPCC Assessment'!M71)-1)*7,0)</f>
        <v>tonnes/km</v>
      </c>
      <c r="P113" s="127">
        <f t="shared" ca="1" si="25"/>
        <v>0</v>
      </c>
      <c r="Q113" s="127">
        <f t="shared" ca="1" si="25"/>
        <v>0</v>
      </c>
      <c r="R113" s="127">
        <f t="shared" ca="1" si="26"/>
        <v>0</v>
      </c>
      <c r="S113" s="127">
        <f t="shared" ca="1" si="26"/>
        <v>0</v>
      </c>
      <c r="T113" s="127">
        <f t="shared" ca="1" si="26"/>
        <v>0</v>
      </c>
      <c r="U113" s="127">
        <f t="shared" ca="1" si="26"/>
        <v>0</v>
      </c>
      <c r="V113" s="127">
        <f t="shared" ca="1" si="27"/>
        <v>0</v>
      </c>
    </row>
    <row r="114" spans="1:22" ht="25.15" customHeight="1" x14ac:dyDescent="0.3">
      <c r="A114" s="382"/>
      <c r="B114" s="383" t="str">
        <f ca="1">'Translation Table'!H176</f>
        <v>Greater than 50% plastic pipelines, and leak detection and repair programs are in use</v>
      </c>
      <c r="C114" s="384"/>
      <c r="D114" s="378" t="str">
        <f ca="1">'Translation Table'!H257</f>
        <v>Gas consumption</v>
      </c>
      <c r="E114" s="379"/>
      <c r="F114" s="140">
        <f ca="1">'Setup - IPCC Assessment'!Q520/1000</f>
        <v>0</v>
      </c>
      <c r="G114" s="151" t="s">
        <v>1154</v>
      </c>
      <c r="H114" s="150">
        <f ca="1">OFFSET('Setup - IPCC Assessment'!$L$23,(ROW('Setup - IPCC Assessment'!L72)-1)*7,0)</f>
        <v>0.62</v>
      </c>
      <c r="I114" s="150">
        <f ca="1">OFFSET('Setup - IPCC Assessment'!$L$24,(ROW('Setup - IPCC Assessment'!L72)-1)*7,0)</f>
        <v>0.02</v>
      </c>
      <c r="J114" s="150" t="str">
        <f ca="1">OFFSET('Setup - IPCC Assessment'!$L$25,(ROW('Setup - IPCC Assessment'!L72)-1)*7,0)</f>
        <v>NA</v>
      </c>
      <c r="K114" s="150" t="str">
        <f ca="1">OFFSET('Setup - IPCC Assessment'!$L$26,(ROW('Setup - IPCC Assessment'!L72)-1)*7,0)</f>
        <v>NA</v>
      </c>
      <c r="L114" s="150" t="str">
        <f ca="1">OFFSET('Setup - IPCC Assessment'!$L$27,(ROW('Setup - IPCC Assessment'!L72)-1)*7,0)</f>
        <v>NA</v>
      </c>
      <c r="M114" s="150">
        <f ca="1">OFFSET('Setup - IPCC Assessment'!$L$28,(ROW('Setup - IPCC Assessment'!L72)-1)*7,0)</f>
        <v>8.9999999999999993E-3</v>
      </c>
      <c r="N114" s="150" t="str">
        <f ca="1">OFFSET('Setup - IPCC Assessment'!$L$29,(ROW('Setup - IPCC Assessment'!L72)-1)*7,0)</f>
        <v>NA</v>
      </c>
      <c r="O114" s="196" t="s">
        <v>1181</v>
      </c>
      <c r="P114" s="140">
        <f t="shared" ca="1" si="25"/>
        <v>0</v>
      </c>
      <c r="Q114" s="140">
        <f t="shared" ca="1" si="25"/>
        <v>0</v>
      </c>
      <c r="R114" s="140">
        <f t="shared" ca="1" si="26"/>
        <v>0</v>
      </c>
      <c r="S114" s="140">
        <f t="shared" ca="1" si="26"/>
        <v>0</v>
      </c>
      <c r="T114" s="140">
        <f t="shared" ca="1" si="26"/>
        <v>0</v>
      </c>
      <c r="U114" s="140">
        <f t="shared" ca="1" si="26"/>
        <v>0</v>
      </c>
      <c r="V114" s="140">
        <f t="shared" ca="1" si="27"/>
        <v>0</v>
      </c>
    </row>
    <row r="115" spans="1:22" ht="25.15" customHeight="1" x14ac:dyDescent="0.3">
      <c r="A115" s="382"/>
      <c r="B115" s="387"/>
      <c r="C115" s="388"/>
      <c r="D115" s="372" t="str">
        <f ca="1">'Translation Table'!H258</f>
        <v>Kilometre of pipeline</v>
      </c>
      <c r="E115" s="373"/>
      <c r="F115" s="127">
        <f>'Setup - IPCC Assessment'!Q527</f>
        <v>0</v>
      </c>
      <c r="G115" s="255" t="str">
        <f>'Setup - IPCC Assessment'!H527</f>
        <v>km</v>
      </c>
      <c r="H115" s="249">
        <f ca="1">OFFSET('Setup - IPCC Assessment'!$L$23,(ROW('Setup - IPCC Assessment'!L73)-1)*7,0)</f>
        <v>0.23</v>
      </c>
      <c r="I115" s="249">
        <f ca="1">OFFSET('Setup - IPCC Assessment'!$L$24,(ROW('Setup - IPCC Assessment'!L73)-1)*7,0)</f>
        <v>0.01</v>
      </c>
      <c r="J115" s="249" t="str">
        <f ca="1">OFFSET('Setup - IPCC Assessment'!$L$25,(ROW('Setup - IPCC Assessment'!L73)-1)*7,0)</f>
        <v>NA</v>
      </c>
      <c r="K115" s="249" t="str">
        <f ca="1">OFFSET('Setup - IPCC Assessment'!$L$26,(ROW('Setup - IPCC Assessment'!L73)-1)*7,0)</f>
        <v>NA</v>
      </c>
      <c r="L115" s="249" t="str">
        <f ca="1">OFFSET('Setup - IPCC Assessment'!$L$27,(ROW('Setup - IPCC Assessment'!L73)-1)*7,0)</f>
        <v>NA</v>
      </c>
      <c r="M115" s="249">
        <f ca="1">OFFSET('Setup - IPCC Assessment'!$L$28,(ROW('Setup - IPCC Assessment'!L73)-1)*7,0)</f>
        <v>3.0000000000000001E-3</v>
      </c>
      <c r="N115" s="249" t="str">
        <f ca="1">OFFSET('Setup - IPCC Assessment'!$L$29,(ROW('Setup - IPCC Assessment'!L73)-1)*7,0)</f>
        <v>NA</v>
      </c>
      <c r="O115" s="127" t="str">
        <f ca="1">OFFSET('Setup - IPCC Assessment'!$M$23,(ROW('Setup - IPCC Assessment'!M73)-1)*7,0)</f>
        <v>tonnes/km</v>
      </c>
      <c r="P115" s="127">
        <f t="shared" ca="1" si="25"/>
        <v>0</v>
      </c>
      <c r="Q115" s="127">
        <f t="shared" ca="1" si="25"/>
        <v>0</v>
      </c>
      <c r="R115" s="127">
        <f t="shared" ca="1" si="26"/>
        <v>0</v>
      </c>
      <c r="S115" s="127">
        <f t="shared" ca="1" si="26"/>
        <v>0</v>
      </c>
      <c r="T115" s="127">
        <f t="shared" ca="1" si="26"/>
        <v>0</v>
      </c>
      <c r="U115" s="127">
        <f t="shared" ca="1" si="26"/>
        <v>0</v>
      </c>
      <c r="V115" s="127">
        <f t="shared" ca="1" si="27"/>
        <v>0</v>
      </c>
    </row>
    <row r="116" spans="1:22" ht="25.15" customHeight="1" x14ac:dyDescent="0.3">
      <c r="A116" s="382"/>
      <c r="B116" s="383" t="str">
        <f ca="1">'Translation Table'!H177</f>
        <v>Distribution All</v>
      </c>
      <c r="C116" s="384"/>
      <c r="D116" s="378" t="str">
        <f ca="1">'Translation Table'!H259</f>
        <v>Gas consumption</v>
      </c>
      <c r="E116" s="379"/>
      <c r="F116" s="140">
        <f ca="1">'Setup - IPCC Assessment'!Q534/1000</f>
        <v>0</v>
      </c>
      <c r="G116" s="151" t="s">
        <v>1154</v>
      </c>
      <c r="H116" s="150" t="str">
        <f ca="1">OFFSET('Setup - IPCC Assessment'!$L$23,(ROW('Setup - IPCC Assessment'!L74)-1)*7,0)</f>
        <v>NA</v>
      </c>
      <c r="I116" s="150" t="str">
        <f ca="1">OFFSET('Setup - IPCC Assessment'!$L$24,(ROW('Setup - IPCC Assessment'!L74)-1)*7,0)</f>
        <v>NA</v>
      </c>
      <c r="J116" s="150" t="str">
        <f ca="1">OFFSET('Setup - IPCC Assessment'!$L$25,(ROW('Setup - IPCC Assessment'!L74)-1)*7,0)</f>
        <v>NA</v>
      </c>
      <c r="K116" s="150" t="str">
        <f ca="1">OFFSET('Setup - IPCC Assessment'!$L$26,(ROW('Setup - IPCC Assessment'!L74)-1)*7,0)</f>
        <v>NA</v>
      </c>
      <c r="L116" s="150" t="str">
        <f ca="1">OFFSET('Setup - IPCC Assessment'!$L$27,(ROW('Setup - IPCC Assessment'!L74)-1)*7,0)</f>
        <v>NA</v>
      </c>
      <c r="M116" s="150" t="str">
        <f ca="1">OFFSET('Setup - IPCC Assessment'!$L$28,(ROW('Setup - IPCC Assessment'!L74)-1)*7,0)</f>
        <v>NA</v>
      </c>
      <c r="N116" s="150" t="str">
        <f ca="1">OFFSET('Setup - IPCC Assessment'!$L$29,(ROW('Setup - IPCC Assessment'!L74)-1)*7,0)</f>
        <v>NA</v>
      </c>
      <c r="O116" s="196" t="s">
        <v>1181</v>
      </c>
      <c r="P116" s="140">
        <f t="shared" ref="P116:P117" ca="1" si="43">IF(OR(H116="NA",H116="ND"),0,$F116*H116)</f>
        <v>0</v>
      </c>
      <c r="Q116" s="140">
        <f t="shared" ref="Q116:U117" ca="1" si="44">IF(OR(I116="NA",I116="ND"),0,$F116*I116)</f>
        <v>0</v>
      </c>
      <c r="R116" s="140">
        <f t="shared" ca="1" si="44"/>
        <v>0</v>
      </c>
      <c r="S116" s="140">
        <f t="shared" ca="1" si="44"/>
        <v>0</v>
      </c>
      <c r="T116" s="140">
        <f t="shared" ca="1" si="44"/>
        <v>0</v>
      </c>
      <c r="U116" s="140">
        <f t="shared" ca="1" si="44"/>
        <v>0</v>
      </c>
      <c r="V116" s="140">
        <f t="shared" ref="V116:V117" ca="1" si="45">IF(OR(N116="NA",N116="ND"),0,$F116*N116)</f>
        <v>0</v>
      </c>
    </row>
    <row r="117" spans="1:22" ht="25.15" customHeight="1" x14ac:dyDescent="0.3">
      <c r="A117" s="382"/>
      <c r="B117" s="387"/>
      <c r="C117" s="388"/>
      <c r="D117" s="372" t="str">
        <f ca="1">'Translation Table'!H260</f>
        <v>Kilometre of pipeline</v>
      </c>
      <c r="E117" s="373"/>
      <c r="F117" s="127">
        <f>'Setup - IPCC Assessment'!Q541</f>
        <v>0</v>
      </c>
      <c r="G117" s="255" t="str">
        <f>'Setup - IPCC Assessment'!H541</f>
        <v>km</v>
      </c>
      <c r="H117" s="249" t="str">
        <f ca="1">OFFSET('Setup - IPCC Assessment'!$L$23,(ROW('Setup - IPCC Assessment'!L75)-1)*7,0)</f>
        <v>NA</v>
      </c>
      <c r="I117" s="249" t="str">
        <f ca="1">OFFSET('Setup - IPCC Assessment'!$L$24,(ROW('Setup - IPCC Assessment'!L75)-1)*7,0)</f>
        <v>NA</v>
      </c>
      <c r="J117" s="249" t="str">
        <f ca="1">OFFSET('Setup - IPCC Assessment'!$L$25,(ROW('Setup - IPCC Assessment'!L75)-1)*7,0)</f>
        <v>NA</v>
      </c>
      <c r="K117" s="249" t="str">
        <f ca="1">OFFSET('Setup - IPCC Assessment'!$L$26,(ROW('Setup - IPCC Assessment'!L75)-1)*7,0)</f>
        <v>NA</v>
      </c>
      <c r="L117" s="249" t="str">
        <f ca="1">OFFSET('Setup - IPCC Assessment'!$L$27,(ROW('Setup - IPCC Assessment'!L75)-1)*7,0)</f>
        <v>NA</v>
      </c>
      <c r="M117" s="249" t="str">
        <f ca="1">OFFSET('Setup - IPCC Assessment'!$L$28,(ROW('Setup - IPCC Assessment'!L75)-1)*7,0)</f>
        <v>NA</v>
      </c>
      <c r="N117" s="249" t="str">
        <f ca="1">OFFSET('Setup - IPCC Assessment'!$L$29,(ROW('Setup - IPCC Assessment'!L75)-1)*7,0)</f>
        <v>NA</v>
      </c>
      <c r="O117" s="127" t="str">
        <f ca="1">OFFSET('Setup - IPCC Assessment'!$M$23,(ROW('Setup - IPCC Assessment'!M75)-1)*7,0)</f>
        <v>tonnes/km</v>
      </c>
      <c r="P117" s="127">
        <f t="shared" ca="1" si="43"/>
        <v>0</v>
      </c>
      <c r="Q117" s="127">
        <f t="shared" ca="1" si="44"/>
        <v>0</v>
      </c>
      <c r="R117" s="127">
        <f t="shared" ca="1" si="44"/>
        <v>0</v>
      </c>
      <c r="S117" s="127">
        <f t="shared" ca="1" si="44"/>
        <v>0</v>
      </c>
      <c r="T117" s="127">
        <f t="shared" ca="1" si="44"/>
        <v>0</v>
      </c>
      <c r="U117" s="127">
        <f t="shared" ca="1" si="44"/>
        <v>0</v>
      </c>
      <c r="V117" s="127">
        <f t="shared" ca="1" si="45"/>
        <v>0</v>
      </c>
    </row>
    <row r="118" spans="1:22" ht="15" customHeight="1" x14ac:dyDescent="0.3">
      <c r="A118" s="382"/>
      <c r="B118" s="383" t="str">
        <f ca="1">'Translation Table'!H178</f>
        <v>Short term surface storage</v>
      </c>
      <c r="C118" s="384"/>
      <c r="D118" s="378" t="str">
        <f ca="1">'Translation Table'!H261</f>
        <v>Gas stored</v>
      </c>
      <c r="E118" s="379"/>
      <c r="F118" s="140">
        <f ca="1">'Setup - IPCC Assessment'!Q548/1000</f>
        <v>0</v>
      </c>
      <c r="G118" s="151" t="s">
        <v>1154</v>
      </c>
      <c r="H118" s="150">
        <f ca="1">OFFSET('Setup - IPCC Assessment'!$L$23,(ROW('Setup - IPCC Assessment'!L76)-1)*7,0)</f>
        <v>5</v>
      </c>
      <c r="I118" s="150">
        <f ca="1">OFFSET('Setup - IPCC Assessment'!$L$24,(ROW('Setup - IPCC Assessment'!L76)-1)*7,0)</f>
        <v>3.4000000000000002E-2</v>
      </c>
      <c r="J118" s="150" t="str">
        <f ca="1">OFFSET('Setup - IPCC Assessment'!$L$25,(ROW('Setup - IPCC Assessment'!L76)-1)*7,0)</f>
        <v>NA</v>
      </c>
      <c r="K118" s="150" t="str">
        <f ca="1">OFFSET('Setup - IPCC Assessment'!$L$26,(ROW('Setup - IPCC Assessment'!L76)-1)*7,0)</f>
        <v>NA</v>
      </c>
      <c r="L118" s="150" t="str">
        <f ca="1">OFFSET('Setup - IPCC Assessment'!$L$27,(ROW('Setup - IPCC Assessment'!L76)-1)*7,0)</f>
        <v>NA</v>
      </c>
      <c r="M118" s="150">
        <f ca="1">OFFSET('Setup - IPCC Assessment'!$L$28,(ROW('Setup - IPCC Assessment'!L76)-1)*7,0)</f>
        <v>0.125</v>
      </c>
      <c r="N118" s="150" t="str">
        <f ca="1">OFFSET('Setup - IPCC Assessment'!$L$29,(ROW('Setup - IPCC Assessment'!L76)-1)*7,0)</f>
        <v>NA</v>
      </c>
      <c r="O118" s="196" t="s">
        <v>1181</v>
      </c>
      <c r="P118" s="140">
        <f t="shared" ca="1" si="25"/>
        <v>0</v>
      </c>
      <c r="Q118" s="140">
        <f t="shared" ca="1" si="25"/>
        <v>0</v>
      </c>
      <c r="R118" s="140">
        <f t="shared" ca="1" si="26"/>
        <v>0</v>
      </c>
      <c r="S118" s="140">
        <f t="shared" ca="1" si="26"/>
        <v>0</v>
      </c>
      <c r="T118" s="140">
        <f t="shared" ca="1" si="26"/>
        <v>0</v>
      </c>
      <c r="U118" s="140">
        <f t="shared" ref="U118" ca="1" si="46">IF(OR(M118="NA",M118="ND"),0,$F118*M118)</f>
        <v>0</v>
      </c>
      <c r="V118" s="140">
        <f t="shared" ca="1" si="27"/>
        <v>0</v>
      </c>
    </row>
    <row r="119" spans="1:22" ht="15" customHeight="1" x14ac:dyDescent="0.3">
      <c r="A119" s="382"/>
      <c r="B119" s="387"/>
      <c r="C119" s="388"/>
      <c r="D119" s="372" t="str">
        <f ca="1">'Translation Table'!H262</f>
        <v>Gas consumption</v>
      </c>
      <c r="E119" s="373"/>
      <c r="F119" s="127">
        <f ca="1">'Setup - IPCC Assessment'!Q555/1000</f>
        <v>0</v>
      </c>
      <c r="G119" s="250" t="s">
        <v>1154</v>
      </c>
      <c r="H119" s="249">
        <f ca="1">OFFSET('Setup - IPCC Assessment'!$L$23,(ROW('Setup - IPCC Assessment'!L77)-1)*7,0)</f>
        <v>3.0000000000000001E-3</v>
      </c>
      <c r="I119" s="249">
        <f ca="1">OFFSET('Setup - IPCC Assessment'!$L$24,(ROW('Setup - IPCC Assessment'!L77)-1)*7,0)</f>
        <v>2.0999999999999999E-5</v>
      </c>
      <c r="J119" s="249" t="str">
        <f ca="1">OFFSET('Setup - IPCC Assessment'!$L$25,(ROW('Setup - IPCC Assessment'!L77)-1)*7,0)</f>
        <v>NA</v>
      </c>
      <c r="K119" s="249" t="str">
        <f ca="1">OFFSET('Setup - IPCC Assessment'!$L$26,(ROW('Setup - IPCC Assessment'!L77)-1)*7,0)</f>
        <v>NA</v>
      </c>
      <c r="L119" s="249" t="str">
        <f ca="1">OFFSET('Setup - IPCC Assessment'!$L$27,(ROW('Setup - IPCC Assessment'!L77)-1)*7,0)</f>
        <v>NA</v>
      </c>
      <c r="M119" s="249">
        <f ca="1">OFFSET('Setup - IPCC Assessment'!$L$28,(ROW('Setup - IPCC Assessment'!L77)-1)*7,0)</f>
        <v>7.4999999999999993E-5</v>
      </c>
      <c r="N119" s="249" t="str">
        <f ca="1">OFFSET('Setup - IPCC Assessment'!$L$29,(ROW('Setup - IPCC Assessment'!L77)-1)*7,0)</f>
        <v>NA</v>
      </c>
      <c r="O119" s="251" t="s">
        <v>1181</v>
      </c>
      <c r="P119" s="127">
        <f t="shared" ref="P119:V125" ca="1" si="47">IF(OR(H119="NA",H119="ND"),0,$F119*H119)</f>
        <v>0</v>
      </c>
      <c r="Q119" s="127">
        <f t="shared" ca="1" si="47"/>
        <v>0</v>
      </c>
      <c r="R119" s="127">
        <f t="shared" ca="1" si="47"/>
        <v>0</v>
      </c>
      <c r="S119" s="127">
        <f t="shared" ca="1" si="47"/>
        <v>0</v>
      </c>
      <c r="T119" s="127">
        <f t="shared" ca="1" si="47"/>
        <v>0</v>
      </c>
      <c r="U119" s="127">
        <f t="shared" ca="1" si="47"/>
        <v>0</v>
      </c>
      <c r="V119" s="127">
        <f t="shared" ca="1" si="47"/>
        <v>0</v>
      </c>
    </row>
    <row r="120" spans="1:22" ht="15" customHeight="1" x14ac:dyDescent="0.3">
      <c r="A120" s="381"/>
      <c r="B120" s="370" t="str">
        <f ca="1">'Translation Table'!H179</f>
        <v>Town gas distribution: All</v>
      </c>
      <c r="C120" s="371"/>
      <c r="D120" s="378" t="str">
        <f ca="1">'Translation Table'!H263</f>
        <v>Kilometre of pipeline</v>
      </c>
      <c r="E120" s="379"/>
      <c r="F120" s="140">
        <f>'Setup - IPCC Assessment'!Q562</f>
        <v>0</v>
      </c>
      <c r="G120" s="152" t="str">
        <f>'Setup - IPCC Assessment'!H562</f>
        <v>km</v>
      </c>
      <c r="H120" s="150">
        <f ca="1">OFFSET('Setup - IPCC Assessment'!$L$23,(ROW('Setup - IPCC Assessment'!L78)-1)*7,0)</f>
        <v>0.57999999999999996</v>
      </c>
      <c r="I120" s="150">
        <f ca="1">OFFSET('Setup - IPCC Assessment'!$L$24,(ROW('Setup - IPCC Assessment'!L78)-1)*7,0)</f>
        <v>1.83E-2</v>
      </c>
      <c r="J120" s="150" t="str">
        <f ca="1">OFFSET('Setup - IPCC Assessment'!$L$25,(ROW('Setup - IPCC Assessment'!L78)-1)*7,0)</f>
        <v>NA</v>
      </c>
      <c r="K120" s="150" t="str">
        <f ca="1">OFFSET('Setup - IPCC Assessment'!$L$26,(ROW('Setup - IPCC Assessment'!L78)-1)*7,0)</f>
        <v>NA</v>
      </c>
      <c r="L120" s="150" t="str">
        <f ca="1">OFFSET('Setup - IPCC Assessment'!$L$27,(ROW('Setup - IPCC Assessment'!L78)-1)*7,0)</f>
        <v>NA</v>
      </c>
      <c r="M120" s="150" t="str">
        <f ca="1">OFFSET('Setup - IPCC Assessment'!$L$28,(ROW('Setup - IPCC Assessment'!L78)-1)*7,0)</f>
        <v>NA</v>
      </c>
      <c r="N120" s="150" t="str">
        <f ca="1">OFFSET('Setup - IPCC Assessment'!$L$29,(ROW('Setup - IPCC Assessment'!L78)-1)*7,0)</f>
        <v>NA</v>
      </c>
      <c r="O120" s="140" t="str">
        <f ca="1">OFFSET('Setup - IPCC Assessment'!$M$23,(ROW('Setup - IPCC Assessment'!M78)-1)*7,0)</f>
        <v>tonnes/km</v>
      </c>
      <c r="P120" s="140">
        <f t="shared" ca="1" si="47"/>
        <v>0</v>
      </c>
      <c r="Q120" s="140">
        <f t="shared" ca="1" si="47"/>
        <v>0</v>
      </c>
      <c r="R120" s="140">
        <f t="shared" ca="1" si="47"/>
        <v>0</v>
      </c>
      <c r="S120" s="140">
        <f t="shared" ca="1" si="47"/>
        <v>0</v>
      </c>
      <c r="T120" s="140">
        <f t="shared" ca="1" si="47"/>
        <v>0</v>
      </c>
      <c r="U120" s="140">
        <f t="shared" ca="1" si="47"/>
        <v>0</v>
      </c>
      <c r="V120" s="140">
        <f t="shared" ca="1" si="47"/>
        <v>0</v>
      </c>
    </row>
    <row r="121" spans="1:22" ht="15" customHeight="1" x14ac:dyDescent="0.3">
      <c r="A121" s="380" t="str">
        <f ca="1">'Translation Table'!H127</f>
        <v>Gas Post-Meter</v>
      </c>
      <c r="B121" s="370" t="str">
        <f ca="1">'Translation Table'!H180</f>
        <v>Natural gas-fuelled vehicles</v>
      </c>
      <c r="C121" s="371"/>
      <c r="D121" s="372" t="str">
        <f ca="1">'Translation Table'!H264</f>
        <v>Car</v>
      </c>
      <c r="E121" s="373"/>
      <c r="F121" s="127">
        <f>'Setup - IPCC Assessment'!Q569</f>
        <v>0</v>
      </c>
      <c r="G121" s="255" t="str">
        <f ca="1">'Setup - IPCC Assessment'!H569</f>
        <v>Car Count</v>
      </c>
      <c r="H121" s="249">
        <f ca="1">OFFSET('Setup - IPCC Assessment'!$L$23,(ROW('Setup - IPCC Assessment'!L79)-1)*7,0)</f>
        <v>2.9999999999999997E-4</v>
      </c>
      <c r="I121" s="249">
        <f ca="1">OFFSET('Setup - IPCC Assessment'!$L$24,(ROW('Setup - IPCC Assessment'!L79)-1)*7,0)</f>
        <v>2.3E-6</v>
      </c>
      <c r="J121" s="249" t="str">
        <f ca="1">OFFSET('Setup - IPCC Assessment'!$L$25,(ROW('Setup - IPCC Assessment'!L79)-1)*7,0)</f>
        <v>NA</v>
      </c>
      <c r="K121" s="249" t="str">
        <f ca="1">OFFSET('Setup - IPCC Assessment'!$L$26,(ROW('Setup - IPCC Assessment'!L79)-1)*7,0)</f>
        <v>NA</v>
      </c>
      <c r="L121" s="249" t="str">
        <f ca="1">OFFSET('Setup - IPCC Assessment'!$L$27,(ROW('Setup - IPCC Assessment'!L79)-1)*7,0)</f>
        <v>NA</v>
      </c>
      <c r="M121" s="249">
        <f ca="1">OFFSET('Setup - IPCC Assessment'!$L$28,(ROW('Setup - IPCC Assessment'!L79)-1)*7,0)</f>
        <v>7.9999999999999996E-6</v>
      </c>
      <c r="N121" s="249" t="str">
        <f ca="1">OFFSET('Setup - IPCC Assessment'!$L$29,(ROW('Setup - IPCC Assessment'!L79)-1)*7,0)</f>
        <v>NA</v>
      </c>
      <c r="O121" s="127" t="str">
        <f ca="1">OFFSET('Setup - IPCC Assessment'!$M$23,(ROW('Setup - IPCC Assessment'!M79)-1)*7,0)</f>
        <v>tonnes/y/car</v>
      </c>
      <c r="P121" s="127">
        <f t="shared" ca="1" si="47"/>
        <v>0</v>
      </c>
      <c r="Q121" s="127">
        <f t="shared" ca="1" si="47"/>
        <v>0</v>
      </c>
      <c r="R121" s="127">
        <f t="shared" ca="1" si="47"/>
        <v>0</v>
      </c>
      <c r="S121" s="127">
        <f t="shared" ca="1" si="47"/>
        <v>0</v>
      </c>
      <c r="T121" s="127">
        <f t="shared" ca="1" si="47"/>
        <v>0</v>
      </c>
      <c r="U121" s="127">
        <f t="shared" ca="1" si="47"/>
        <v>0</v>
      </c>
      <c r="V121" s="127">
        <f t="shared" ca="1" si="47"/>
        <v>0</v>
      </c>
    </row>
    <row r="122" spans="1:22" ht="32.15" customHeight="1" x14ac:dyDescent="0.3">
      <c r="A122" s="382"/>
      <c r="B122" s="370" t="str">
        <f ca="1">'Translation Table'!H181</f>
        <v>Appliances in commercial and residential sector</v>
      </c>
      <c r="C122" s="371"/>
      <c r="D122" s="378" t="str">
        <f ca="1">'Translation Table'!H265</f>
        <v>Appliance</v>
      </c>
      <c r="E122" s="379"/>
      <c r="F122" s="140">
        <f>'Setup - IPCC Assessment'!Q576</f>
        <v>0</v>
      </c>
      <c r="G122" s="152" t="str">
        <f ca="1">'Setup - IPCC Assessment'!H576</f>
        <v>Appliance Count</v>
      </c>
      <c r="H122" s="150">
        <f ca="1">OFFSET('Setup - IPCC Assessment'!$L$23,(ROW('Setup - IPCC Assessment'!L80)-1)*7,0)</f>
        <v>4.0000000000000001E-3</v>
      </c>
      <c r="I122" s="150">
        <f ca="1">OFFSET('Setup - IPCC Assessment'!$L$24,(ROW('Setup - IPCC Assessment'!L80)-1)*7,0)</f>
        <v>3.3000000000000003E-5</v>
      </c>
      <c r="J122" s="150" t="str">
        <f ca="1">OFFSET('Setup - IPCC Assessment'!$L$25,(ROW('Setup - IPCC Assessment'!L80)-1)*7,0)</f>
        <v>NA</v>
      </c>
      <c r="K122" s="150" t="str">
        <f ca="1">OFFSET('Setup - IPCC Assessment'!$L$26,(ROW('Setup - IPCC Assessment'!L80)-1)*7,0)</f>
        <v>NA</v>
      </c>
      <c r="L122" s="150" t="str">
        <f ca="1">OFFSET('Setup - IPCC Assessment'!$L$27,(ROW('Setup - IPCC Assessment'!L80)-1)*7,0)</f>
        <v>NA</v>
      </c>
      <c r="M122" s="150">
        <f ca="1">OFFSET('Setup - IPCC Assessment'!$L$28,(ROW('Setup - IPCC Assessment'!L80)-1)*7,0)</f>
        <v>1E-4</v>
      </c>
      <c r="N122" s="150" t="str">
        <f ca="1">OFFSET('Setup - IPCC Assessment'!$L$29,(ROW('Setup - IPCC Assessment'!L80)-1)*7,0)</f>
        <v>NA</v>
      </c>
      <c r="O122" s="140" t="str">
        <f ca="1">OFFSET('Setup - IPCC Assessment'!$M$23,(ROW('Setup - IPCC Assessment'!M80)-1)*7,0)</f>
        <v>tonnes/y/appliance</v>
      </c>
      <c r="P122" s="140">
        <f t="shared" ca="1" si="47"/>
        <v>0</v>
      </c>
      <c r="Q122" s="140">
        <f t="shared" ca="1" si="47"/>
        <v>0</v>
      </c>
      <c r="R122" s="140">
        <f t="shared" ca="1" si="47"/>
        <v>0</v>
      </c>
      <c r="S122" s="140">
        <f t="shared" ca="1" si="47"/>
        <v>0</v>
      </c>
      <c r="T122" s="140">
        <f t="shared" ca="1" si="47"/>
        <v>0</v>
      </c>
      <c r="U122" s="140">
        <f t="shared" ca="1" si="47"/>
        <v>0</v>
      </c>
      <c r="V122" s="140">
        <f t="shared" ca="1" si="47"/>
        <v>0</v>
      </c>
    </row>
    <row r="123" spans="1:22" ht="32.15" customHeight="1" x14ac:dyDescent="0.3">
      <c r="A123" s="381"/>
      <c r="B123" s="370" t="str">
        <f ca="1">'Translation Table'!H182</f>
        <v>Leakage at industrial plants and power stations</v>
      </c>
      <c r="C123" s="371"/>
      <c r="D123" s="372" t="str">
        <f ca="1">'Translation Table'!H266</f>
        <v>Non-residential and commercial gas consumed</v>
      </c>
      <c r="E123" s="373"/>
      <c r="F123" s="127">
        <f ca="1">'Setup - IPCC Assessment'!Q583/1000</f>
        <v>0</v>
      </c>
      <c r="G123" s="250" t="s">
        <v>1154</v>
      </c>
      <c r="H123" s="249">
        <f ca="1">OFFSET('Setup - IPCC Assessment'!$L$23,(ROW('Setup - IPCC Assessment'!L81)-1)*7,0)</f>
        <v>0.4</v>
      </c>
      <c r="I123" s="249">
        <f ca="1">OFFSET('Setup - IPCC Assessment'!$L$24,(ROW('Setup - IPCC Assessment'!L81)-1)*7,0)</f>
        <v>3.3E-3</v>
      </c>
      <c r="J123" s="249" t="str">
        <f ca="1">OFFSET('Setup - IPCC Assessment'!$L$25,(ROW('Setup - IPCC Assessment'!L81)-1)*7,0)</f>
        <v>NA</v>
      </c>
      <c r="K123" s="249" t="str">
        <f ca="1">OFFSET('Setup - IPCC Assessment'!$L$26,(ROW('Setup - IPCC Assessment'!L81)-1)*7,0)</f>
        <v>NA</v>
      </c>
      <c r="L123" s="249" t="str">
        <f ca="1">OFFSET('Setup - IPCC Assessment'!$L$27,(ROW('Setup - IPCC Assessment'!L81)-1)*7,0)</f>
        <v>NA</v>
      </c>
      <c r="M123" s="249">
        <f ca="1">OFFSET('Setup - IPCC Assessment'!$L$28,(ROW('Setup - IPCC Assessment'!L81)-1)*7,0)</f>
        <v>0.01</v>
      </c>
      <c r="N123" s="249" t="str">
        <f ca="1">OFFSET('Setup - IPCC Assessment'!$L$29,(ROW('Setup - IPCC Assessment'!L81)-1)*7,0)</f>
        <v>NA</v>
      </c>
      <c r="O123" s="251" t="s">
        <v>1181</v>
      </c>
      <c r="P123" s="127">
        <f t="shared" ca="1" si="47"/>
        <v>0</v>
      </c>
      <c r="Q123" s="127">
        <f t="shared" ca="1" si="47"/>
        <v>0</v>
      </c>
      <c r="R123" s="127">
        <f t="shared" ca="1" si="47"/>
        <v>0</v>
      </c>
      <c r="S123" s="127">
        <f t="shared" ca="1" si="47"/>
        <v>0</v>
      </c>
      <c r="T123" s="127">
        <f t="shared" ca="1" si="47"/>
        <v>0</v>
      </c>
      <c r="U123" s="127">
        <f t="shared" ca="1" si="47"/>
        <v>0</v>
      </c>
      <c r="V123" s="127">
        <f t="shared" ca="1" si="47"/>
        <v>0</v>
      </c>
    </row>
    <row r="124" spans="1:22" ht="32.15" customHeight="1" x14ac:dyDescent="0.3">
      <c r="A124" s="254" t="str">
        <f ca="1">'Translation Table'!H128</f>
        <v>Gas Other</v>
      </c>
      <c r="B124" s="374" t="str">
        <f ca="1">'Translation Table'!H183</f>
        <v>All</v>
      </c>
      <c r="C124" s="375"/>
      <c r="D124" s="376" t="str">
        <f ca="1">'Translation Table'!H267</f>
        <v>Other</v>
      </c>
      <c r="E124" s="377"/>
      <c r="F124" s="140">
        <f>'Setup - IPCC Assessment'!Q590</f>
        <v>0</v>
      </c>
      <c r="G124" s="151" t="str">
        <f ca="1">'Setup - IPCC Assessment'!H590</f>
        <v>Well Count</v>
      </c>
      <c r="H124" s="150" t="str">
        <f ca="1">OFFSET('Setup - IPCC Assessment'!$L$23,(ROW('Setup - IPCC Assessment'!L82)-1)*7,0)</f>
        <v>NA</v>
      </c>
      <c r="I124" s="150" t="str">
        <f ca="1">OFFSET('Setup - IPCC Assessment'!$L$24,(ROW('Setup - IPCC Assessment'!L82)-1)*7,0)</f>
        <v>NA</v>
      </c>
      <c r="J124" s="150" t="str">
        <f ca="1">OFFSET('Setup - IPCC Assessment'!$L$25,(ROW('Setup - IPCC Assessment'!L82)-1)*7,0)</f>
        <v>NA</v>
      </c>
      <c r="K124" s="150" t="str">
        <f ca="1">OFFSET('Setup - IPCC Assessment'!$L$26,(ROW('Setup - IPCC Assessment'!L82)-1)*7,0)</f>
        <v>NA</v>
      </c>
      <c r="L124" s="150" t="str">
        <f ca="1">OFFSET('Setup - IPCC Assessment'!$L$27,(ROW('Setup - IPCC Assessment'!L82)-1)*7,0)</f>
        <v>NA</v>
      </c>
      <c r="M124" s="150" t="str">
        <f ca="1">OFFSET('Setup - IPCC Assessment'!$L$28,(ROW('Setup - IPCC Assessment'!L82)-1)*7,0)</f>
        <v>NA</v>
      </c>
      <c r="N124" s="150" t="str">
        <f ca="1">OFFSET('Setup - IPCC Assessment'!$L$29,(ROW('Setup - IPCC Assessment'!L82)-1)*7,0)</f>
        <v>NA</v>
      </c>
      <c r="O124" s="140" t="str">
        <f ca="1">OFFSET('Setup - IPCC Assessment'!$M$23,(ROW('Setup - IPCC Assessment'!M82)-1)*7,0)</f>
        <v>tonnes/y/well</v>
      </c>
      <c r="P124" s="140">
        <f t="shared" ca="1" si="47"/>
        <v>0</v>
      </c>
      <c r="Q124" s="140">
        <f t="shared" ca="1" si="47"/>
        <v>0</v>
      </c>
      <c r="R124" s="140">
        <f t="shared" ca="1" si="47"/>
        <v>0</v>
      </c>
      <c r="S124" s="140">
        <f t="shared" ca="1" si="47"/>
        <v>0</v>
      </c>
      <c r="T124" s="140">
        <f t="shared" ca="1" si="47"/>
        <v>0</v>
      </c>
      <c r="U124" s="140">
        <f t="shared" ca="1" si="47"/>
        <v>0</v>
      </c>
      <c r="V124" s="140">
        <f t="shared" ca="1" si="47"/>
        <v>0</v>
      </c>
    </row>
    <row r="125" spans="1:22" ht="15" customHeight="1" x14ac:dyDescent="0.3">
      <c r="A125" s="127" t="str">
        <f ca="1">'Translation Table'!H129</f>
        <v>Abandoned Gas Wells</v>
      </c>
      <c r="B125" s="370" t="str">
        <f ca="1">'Translation Table'!H184</f>
        <v>All</v>
      </c>
      <c r="C125" s="371"/>
      <c r="D125" s="372" t="str">
        <f ca="1">'Translation Table'!H268</f>
        <v>Abandoned Gas Wells</v>
      </c>
      <c r="E125" s="373"/>
      <c r="F125" s="127">
        <f>'Setup - IPCC Assessment'!Q597</f>
        <v>0</v>
      </c>
      <c r="G125" s="255" t="str">
        <f ca="1">'Setup - IPCC Assessment'!H597</f>
        <v>Well Count</v>
      </c>
      <c r="H125" s="249" t="str">
        <f ca="1">OFFSET('Setup - IPCC Assessment'!$L$23,(ROW('Setup - IPCC Assessment'!L83)-1)*7,0)</f>
        <v>NA</v>
      </c>
      <c r="I125" s="249" t="str">
        <f ca="1">OFFSET('Setup - IPCC Assessment'!$L$24,(ROW('Setup - IPCC Assessment'!L83)-1)*7,0)</f>
        <v>NA</v>
      </c>
      <c r="J125" s="249" t="str">
        <f ca="1">OFFSET('Setup - IPCC Assessment'!$L$25,(ROW('Setup - IPCC Assessment'!L83)-1)*7,0)</f>
        <v>NA</v>
      </c>
      <c r="K125" s="249" t="str">
        <f ca="1">OFFSET('Setup - IPCC Assessment'!$L$26,(ROW('Setup - IPCC Assessment'!L83)-1)*7,0)</f>
        <v>NA</v>
      </c>
      <c r="L125" s="249" t="str">
        <f ca="1">OFFSET('Setup - IPCC Assessment'!$L$27,(ROW('Setup - IPCC Assessment'!L83)-1)*7,0)</f>
        <v>NA</v>
      </c>
      <c r="M125" s="249" t="str">
        <f ca="1">OFFSET('Setup - IPCC Assessment'!$L$28,(ROW('Setup - IPCC Assessment'!L83)-1)*7,0)</f>
        <v>NA</v>
      </c>
      <c r="N125" s="249" t="str">
        <f ca="1">OFFSET('Setup - IPCC Assessment'!$L$29,(ROW('Setup - IPCC Assessment'!L83)-1)*7,0)</f>
        <v>NA</v>
      </c>
      <c r="O125" s="127" t="str">
        <f ca="1">OFFSET('Setup - IPCC Assessment'!$M$23,(ROW('Setup - IPCC Assessment'!M83)-1)*7,0)</f>
        <v>tonnes/y/well</v>
      </c>
      <c r="P125" s="127">
        <f t="shared" ca="1" si="47"/>
        <v>0</v>
      </c>
      <c r="Q125" s="127">
        <f t="shared" ca="1" si="47"/>
        <v>0</v>
      </c>
      <c r="R125" s="127">
        <f t="shared" ca="1" si="47"/>
        <v>0</v>
      </c>
      <c r="S125" s="127">
        <f t="shared" ca="1" si="47"/>
        <v>0</v>
      </c>
      <c r="T125" s="127">
        <f t="shared" ca="1" si="47"/>
        <v>0</v>
      </c>
      <c r="U125" s="127">
        <f t="shared" ca="1" si="47"/>
        <v>0</v>
      </c>
      <c r="V125" s="127">
        <f t="shared" ca="1" si="47"/>
        <v>0</v>
      </c>
    </row>
  </sheetData>
  <sheetProtection algorithmName="SHA-512" hashValue="JkdAJSC2Yopqoe6s/npltD25lOFqaCeOmtsTguXzgXLzJiNNHGOxTaX+tIMyb21MSDthOgf8ihthGd0wqxqq/g==" saltValue="z8kVJe4qJUipoQnu0epLdw==" spinCount="100000" sheet="1" objects="1" scenarios="1"/>
  <mergeCells count="226">
    <mergeCell ref="J3:P3"/>
    <mergeCell ref="F3:G3"/>
    <mergeCell ref="I4:I5"/>
    <mergeCell ref="I18:I19"/>
    <mergeCell ref="H34:H35"/>
    <mergeCell ref="I34:I35"/>
    <mergeCell ref="V38:AA38"/>
    <mergeCell ref="J2:V2"/>
    <mergeCell ref="J4:J5"/>
    <mergeCell ref="K4:K5"/>
    <mergeCell ref="P4:P5"/>
    <mergeCell ref="Q3:W3"/>
    <mergeCell ref="X3:AD3"/>
    <mergeCell ref="Q17:W17"/>
    <mergeCell ref="X17:AD17"/>
    <mergeCell ref="Q33:W33"/>
    <mergeCell ref="X33:AD33"/>
    <mergeCell ref="N18:N19"/>
    <mergeCell ref="O18:O19"/>
    <mergeCell ref="L4:L5"/>
    <mergeCell ref="M4:M5"/>
    <mergeCell ref="L18:L19"/>
    <mergeCell ref="M18:M19"/>
    <mergeCell ref="H3:I3"/>
    <mergeCell ref="H17:I17"/>
    <mergeCell ref="N41:N42"/>
    <mergeCell ref="O41:O42"/>
    <mergeCell ref="J41:J42"/>
    <mergeCell ref="A1:B1"/>
    <mergeCell ref="A3:A5"/>
    <mergeCell ref="A17:A19"/>
    <mergeCell ref="A33:A35"/>
    <mergeCell ref="B3:C3"/>
    <mergeCell ref="B4:C4"/>
    <mergeCell ref="B33:C33"/>
    <mergeCell ref="B34:C34"/>
    <mergeCell ref="G18:G19"/>
    <mergeCell ref="E34:E35"/>
    <mergeCell ref="D33:E33"/>
    <mergeCell ref="F33:G33"/>
    <mergeCell ref="G34:G35"/>
    <mergeCell ref="B17:C17"/>
    <mergeCell ref="B18:C18"/>
    <mergeCell ref="D3:E3"/>
    <mergeCell ref="E4:E5"/>
    <mergeCell ref="D17:E17"/>
    <mergeCell ref="E18:E19"/>
    <mergeCell ref="G4:G5"/>
    <mergeCell ref="F17:G17"/>
    <mergeCell ref="M41:M42"/>
    <mergeCell ref="K41:K42"/>
    <mergeCell ref="L41:L42"/>
    <mergeCell ref="B52:C53"/>
    <mergeCell ref="B54:C55"/>
    <mergeCell ref="B49:C51"/>
    <mergeCell ref="B46:C48"/>
    <mergeCell ref="B43:C45"/>
    <mergeCell ref="D53:E53"/>
    <mergeCell ref="D54:E54"/>
    <mergeCell ref="D55:E55"/>
    <mergeCell ref="D50:E50"/>
    <mergeCell ref="D51:E51"/>
    <mergeCell ref="I41:I42"/>
    <mergeCell ref="N4:N5"/>
    <mergeCell ref="O4:O5"/>
    <mergeCell ref="P38:U38"/>
    <mergeCell ref="H33:I33"/>
    <mergeCell ref="P40:V40"/>
    <mergeCell ref="D52:E52"/>
    <mergeCell ref="H41:H42"/>
    <mergeCell ref="F40:F42"/>
    <mergeCell ref="D64:E64"/>
    <mergeCell ref="J17:P17"/>
    <mergeCell ref="J33:P33"/>
    <mergeCell ref="L34:L35"/>
    <mergeCell ref="M34:M35"/>
    <mergeCell ref="N34:N35"/>
    <mergeCell ref="O34:O35"/>
    <mergeCell ref="J18:J19"/>
    <mergeCell ref="J34:J35"/>
    <mergeCell ref="K34:K35"/>
    <mergeCell ref="P34:P35"/>
    <mergeCell ref="K18:K19"/>
    <mergeCell ref="P18:P19"/>
    <mergeCell ref="G40:G42"/>
    <mergeCell ref="D49:E49"/>
    <mergeCell ref="H40:O40"/>
    <mergeCell ref="D65:E65"/>
    <mergeCell ref="D67:E67"/>
    <mergeCell ref="D68:E68"/>
    <mergeCell ref="D69:E69"/>
    <mergeCell ref="D71:E71"/>
    <mergeCell ref="B56:C57"/>
    <mergeCell ref="D56:E56"/>
    <mergeCell ref="D57:E57"/>
    <mergeCell ref="B66:C66"/>
    <mergeCell ref="D66:E66"/>
    <mergeCell ref="D60:E60"/>
    <mergeCell ref="D61:E61"/>
    <mergeCell ref="B65:C65"/>
    <mergeCell ref="B67:C67"/>
    <mergeCell ref="B68:C68"/>
    <mergeCell ref="B69:C69"/>
    <mergeCell ref="B71:C71"/>
    <mergeCell ref="B60:C60"/>
    <mergeCell ref="B61:C61"/>
    <mergeCell ref="B62:C62"/>
    <mergeCell ref="B63:C63"/>
    <mergeCell ref="B64:C64"/>
    <mergeCell ref="B58:C58"/>
    <mergeCell ref="B59:C59"/>
    <mergeCell ref="A40:A42"/>
    <mergeCell ref="B40:C42"/>
    <mergeCell ref="D40:E42"/>
    <mergeCell ref="D43:E43"/>
    <mergeCell ref="D44:E44"/>
    <mergeCell ref="D45:E45"/>
    <mergeCell ref="D46:E46"/>
    <mergeCell ref="D47:E47"/>
    <mergeCell ref="D48:E48"/>
    <mergeCell ref="A43:A51"/>
    <mergeCell ref="A52:A60"/>
    <mergeCell ref="D58:E58"/>
    <mergeCell ref="D59:E59"/>
    <mergeCell ref="B106:C107"/>
    <mergeCell ref="D106:E106"/>
    <mergeCell ref="D107:E107"/>
    <mergeCell ref="A61:A66"/>
    <mergeCell ref="B95:C96"/>
    <mergeCell ref="B92:C92"/>
    <mergeCell ref="B93:C93"/>
    <mergeCell ref="B88:C89"/>
    <mergeCell ref="B90:C91"/>
    <mergeCell ref="D103:E103"/>
    <mergeCell ref="D104:E104"/>
    <mergeCell ref="D77:E77"/>
    <mergeCell ref="D78:E78"/>
    <mergeCell ref="D63:E63"/>
    <mergeCell ref="D62:E62"/>
    <mergeCell ref="A95:A101"/>
    <mergeCell ref="D95:E95"/>
    <mergeCell ref="D96:E96"/>
    <mergeCell ref="D97:E97"/>
    <mergeCell ref="D98:E98"/>
    <mergeCell ref="D101:E101"/>
    <mergeCell ref="A121:A123"/>
    <mergeCell ref="D105:E105"/>
    <mergeCell ref="D108:E108"/>
    <mergeCell ref="D109:E109"/>
    <mergeCell ref="D110:E110"/>
    <mergeCell ref="D111:E111"/>
    <mergeCell ref="D112:E112"/>
    <mergeCell ref="D113:E113"/>
    <mergeCell ref="D114:E114"/>
    <mergeCell ref="D115:E115"/>
    <mergeCell ref="B104:C105"/>
    <mergeCell ref="B121:C121"/>
    <mergeCell ref="B122:C122"/>
    <mergeCell ref="B118:C119"/>
    <mergeCell ref="B114:C115"/>
    <mergeCell ref="B112:C113"/>
    <mergeCell ref="B120:C120"/>
    <mergeCell ref="B108:C108"/>
    <mergeCell ref="B109:C109"/>
    <mergeCell ref="B110:C110"/>
    <mergeCell ref="A102:A111"/>
    <mergeCell ref="A112:A120"/>
    <mergeCell ref="B116:C117"/>
    <mergeCell ref="D116:E116"/>
    <mergeCell ref="D72:E72"/>
    <mergeCell ref="B75:C75"/>
    <mergeCell ref="B99:C100"/>
    <mergeCell ref="D99:E99"/>
    <mergeCell ref="D100:E100"/>
    <mergeCell ref="B77:C79"/>
    <mergeCell ref="D73:E73"/>
    <mergeCell ref="B86:C87"/>
    <mergeCell ref="B83:C85"/>
    <mergeCell ref="B111:C111"/>
    <mergeCell ref="A68:A69"/>
    <mergeCell ref="A71:A76"/>
    <mergeCell ref="A77:A85"/>
    <mergeCell ref="A86:A94"/>
    <mergeCell ref="D94:E94"/>
    <mergeCell ref="D83:E83"/>
    <mergeCell ref="D84:E84"/>
    <mergeCell ref="D85:E85"/>
    <mergeCell ref="D86:E86"/>
    <mergeCell ref="D87:E87"/>
    <mergeCell ref="D88:E88"/>
    <mergeCell ref="D89:E89"/>
    <mergeCell ref="D92:E92"/>
    <mergeCell ref="D93:E93"/>
    <mergeCell ref="D74:E74"/>
    <mergeCell ref="D75:E75"/>
    <mergeCell ref="B76:C76"/>
    <mergeCell ref="D76:E76"/>
    <mergeCell ref="B80:C82"/>
    <mergeCell ref="B101:C101"/>
    <mergeCell ref="B102:C103"/>
    <mergeCell ref="B94:C94"/>
    <mergeCell ref="B97:C98"/>
    <mergeCell ref="B125:C125"/>
    <mergeCell ref="D125:E125"/>
    <mergeCell ref="B70:C70"/>
    <mergeCell ref="D70:E70"/>
    <mergeCell ref="B124:C124"/>
    <mergeCell ref="D124:E124"/>
    <mergeCell ref="D118:E118"/>
    <mergeCell ref="D119:E119"/>
    <mergeCell ref="D120:E120"/>
    <mergeCell ref="D121:E121"/>
    <mergeCell ref="D122:E122"/>
    <mergeCell ref="D123:E123"/>
    <mergeCell ref="D79:E79"/>
    <mergeCell ref="D80:E80"/>
    <mergeCell ref="D81:E81"/>
    <mergeCell ref="D82:E82"/>
    <mergeCell ref="B72:C72"/>
    <mergeCell ref="B73:C73"/>
    <mergeCell ref="B74:C74"/>
    <mergeCell ref="D90:E90"/>
    <mergeCell ref="D91:E91"/>
    <mergeCell ref="B123:C123"/>
    <mergeCell ref="D117:E117"/>
    <mergeCell ref="D102:E102"/>
  </mergeCells>
  <phoneticPr fontId="18" type="noConversion"/>
  <dataValidations count="2">
    <dataValidation type="decimal" operator="greaterThanOrEqual" allowBlank="1" showInputMessage="1" showErrorMessage="1" sqref="D6:D13 D20:D29 F20:F29 F6:F13 D36" xr:uid="{C9434886-4FAB-454E-88FC-3866E7A83D7F}">
      <formula1>0</formula1>
    </dataValidation>
    <dataValidation type="decimal" allowBlank="1" showInputMessage="1" showErrorMessage="1" sqref="H36 H20:H29 H6:H13" xr:uid="{030CB74A-1FFE-448C-880A-975060B9CB47}">
      <formula1>0</formula1>
      <formula2>1</formula2>
    </dataValidation>
  </dataValidations>
  <hyperlinks>
    <hyperlink ref="G13" r:id="rId1" xr:uid="{92462A5D-6B67-4E85-83B4-21899AFFDA6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EEA47F"/>
  </sheetPr>
  <dimension ref="A1:Y35"/>
  <sheetViews>
    <sheetView showGridLines="0" workbookViewId="0">
      <selection sqref="A1:C1"/>
    </sheetView>
  </sheetViews>
  <sheetFormatPr defaultColWidth="9.1796875" defaultRowHeight="14" x14ac:dyDescent="0.3"/>
  <cols>
    <col min="1" max="1" width="21.1796875" style="41" bestFit="1" customWidth="1"/>
    <col min="2" max="2" width="9.1796875" style="41"/>
    <col min="3" max="3" width="17.453125" style="41" bestFit="1" customWidth="1"/>
    <col min="4" max="4" width="9.54296875" style="41" customWidth="1"/>
    <col min="5" max="5" width="13" style="41" customWidth="1"/>
    <col min="6" max="6" width="9.1796875" style="41" bestFit="1" customWidth="1"/>
    <col min="7" max="7" width="10.1796875" style="41" bestFit="1" customWidth="1"/>
    <col min="8" max="8" width="10.81640625" style="41" customWidth="1"/>
    <col min="9" max="9" width="13.1796875" style="41" customWidth="1"/>
    <col min="10" max="10" width="10.1796875" style="41" bestFit="1" customWidth="1"/>
    <col min="11" max="13" width="10.453125" style="41" bestFit="1" customWidth="1"/>
    <col min="14" max="14" width="15.54296875" style="41" bestFit="1" customWidth="1"/>
    <col min="15" max="16" width="9.1796875" style="41" bestFit="1" customWidth="1"/>
    <col min="17" max="17" width="10.453125" style="41" bestFit="1" customWidth="1"/>
    <col min="18" max="18" width="14.453125" style="41" bestFit="1" customWidth="1"/>
    <col min="19" max="19" width="5.81640625" style="41" customWidth="1"/>
    <col min="20" max="20" width="6.81640625" style="41" customWidth="1"/>
    <col min="21" max="21" width="5.453125" style="41" customWidth="1"/>
    <col min="22" max="22" width="4.81640625" style="41" customWidth="1"/>
    <col min="23" max="23" width="6" style="41" customWidth="1"/>
    <col min="24" max="24" width="19.81640625" style="41" bestFit="1" customWidth="1"/>
    <col min="25" max="25" width="9.1796875" style="41" bestFit="1" customWidth="1"/>
    <col min="26" max="16384" width="9.1796875" style="41"/>
  </cols>
  <sheetData>
    <row r="1" spans="1:25" ht="22.5" x14ac:dyDescent="0.45">
      <c r="A1" s="429" t="str">
        <f ca="1">'Translation Table'!H338</f>
        <v>Chemical Library</v>
      </c>
      <c r="B1" s="429"/>
      <c r="C1" s="429"/>
      <c r="S1" s="36" t="s">
        <v>200</v>
      </c>
      <c r="T1" s="36" t="s">
        <v>201</v>
      </c>
      <c r="U1" s="36" t="s">
        <v>203</v>
      </c>
      <c r="V1" s="36" t="s">
        <v>204</v>
      </c>
      <c r="W1" s="36" t="s">
        <v>202</v>
      </c>
    </row>
    <row r="2" spans="1:25" ht="49.5" customHeight="1" x14ac:dyDescent="0.3">
      <c r="A2" s="433" t="str">
        <f ca="1">'Translation Table'!H339</f>
        <v>Substance</v>
      </c>
      <c r="B2" s="434"/>
      <c r="C2" s="49" t="str">
        <f ca="1">'Translation Table'!H340</f>
        <v>Molecular Weight</v>
      </c>
      <c r="D2" s="430" t="str">
        <f ca="1">'Translation Table'!H341</f>
        <v>Gas Density at STP</v>
      </c>
      <c r="E2" s="432"/>
      <c r="F2" s="430" t="str">
        <f ca="1">'Translation Table'!H342</f>
        <v>Liquid Density</v>
      </c>
      <c r="G2" s="432"/>
      <c r="H2" s="430" t="str">
        <f ca="1">'Translation Table'!H343</f>
        <v>Specific Heat Capacity (Cp)</v>
      </c>
      <c r="I2" s="431"/>
      <c r="J2" s="432"/>
      <c r="K2" s="430" t="str">
        <f ca="1">'Translation Table'!H344</f>
        <v>Lower Heating Value</v>
      </c>
      <c r="L2" s="431"/>
      <c r="M2" s="431"/>
      <c r="N2" s="432"/>
      <c r="O2" s="430" t="str">
        <f ca="1">'Translation Table'!H345</f>
        <v>Higher Heating Value</v>
      </c>
      <c r="P2" s="431"/>
      <c r="Q2" s="431"/>
      <c r="R2" s="432"/>
      <c r="S2" s="430" t="str">
        <f ca="1">'Translation Table'!H346</f>
        <v>Composition (Atoms/Molecule)</v>
      </c>
      <c r="T2" s="431"/>
      <c r="U2" s="431"/>
      <c r="V2" s="431"/>
      <c r="W2" s="432"/>
      <c r="X2" s="439" t="str">
        <f ca="1">'Translation Table'!H347</f>
        <v>Carbon Content</v>
      </c>
      <c r="Y2" s="440"/>
    </row>
    <row r="3" spans="1:25" ht="15.5" x14ac:dyDescent="0.35">
      <c r="A3" s="435" t="str">
        <f ca="1">'Translation Table'!H348</f>
        <v>Name</v>
      </c>
      <c r="B3" s="435" t="str">
        <f ca="1">'Translation Table'!H349</f>
        <v>Formula</v>
      </c>
      <c r="C3" s="435" t="str">
        <f ca="1">'Translation Table'!H350</f>
        <v>(kg/kmol)</v>
      </c>
      <c r="D3" s="52" t="str">
        <f ca="1">'Translation Table'!H351</f>
        <v>At 15°C</v>
      </c>
      <c r="E3" s="52" t="str">
        <f ca="1">'Translation Table'!H352</f>
        <v>At Standard T</v>
      </c>
      <c r="F3" s="433" t="str">
        <f ca="1">'Translation Table'!H353</f>
        <v>At 15°C</v>
      </c>
      <c r="G3" s="434"/>
      <c r="H3" s="433" t="str">
        <f ca="1">'Translation Table'!H354</f>
        <v>Ideal Gas</v>
      </c>
      <c r="I3" s="434"/>
      <c r="J3" s="52" t="str">
        <f ca="1">'Translation Table'!H355</f>
        <v>Liquid</v>
      </c>
      <c r="K3" s="437" t="str">
        <f ca="1">'Translation Table'!H356</f>
        <v>At 15°C</v>
      </c>
      <c r="L3" s="438"/>
      <c r="M3" s="437" t="str">
        <f ca="1">'Translation Table'!H357</f>
        <v>At Standard T</v>
      </c>
      <c r="N3" s="438"/>
      <c r="O3" s="437" t="str">
        <f ca="1">'Translation Table'!H358</f>
        <v>At 15°C</v>
      </c>
      <c r="P3" s="438"/>
      <c r="Q3" s="437" t="str">
        <f ca="1">'Translation Table'!H359</f>
        <v>At Standard T</v>
      </c>
      <c r="R3" s="438"/>
      <c r="S3" s="435" t="str">
        <f ca="1">'Translation Table'!H360</f>
        <v>C</v>
      </c>
      <c r="T3" s="435" t="str">
        <f ca="1">'Translation Table'!H361</f>
        <v>H</v>
      </c>
      <c r="U3" s="435" t="str">
        <f ca="1">'Translation Table'!H362</f>
        <v>S</v>
      </c>
      <c r="V3" s="435" t="str">
        <f ca="1">'Translation Table'!H363</f>
        <v>N</v>
      </c>
      <c r="W3" s="435" t="str">
        <f ca="1">'Translation Table'!H364</f>
        <v>O</v>
      </c>
      <c r="X3" s="441" t="str">
        <f ca="1">'Translation Table'!H365</f>
        <v>(tonnes/10^3 Nm3)</v>
      </c>
      <c r="Y3" s="441" t="str">
        <f ca="1">'Translation Table'!H366</f>
        <v>kg/kg</v>
      </c>
    </row>
    <row r="4" spans="1:25" ht="15.5" x14ac:dyDescent="0.35">
      <c r="A4" s="436"/>
      <c r="B4" s="436"/>
      <c r="C4" s="436"/>
      <c r="D4" s="52" t="str">
        <f ca="1">'Translation Table'!H367</f>
        <v>(kg/m3)</v>
      </c>
      <c r="E4" s="52" t="str">
        <f ca="1">'Translation Table'!H368</f>
        <v>(kg/m3)</v>
      </c>
      <c r="F4" s="52" t="str">
        <f ca="1">'Translation Table'!H369</f>
        <v>(kg/m3)</v>
      </c>
      <c r="G4" s="52" t="str">
        <f ca="1">'Translation Table'!H370</f>
        <v>(Nm3/kmol)</v>
      </c>
      <c r="H4" s="53" t="str">
        <f ca="1">'Translation Table'!H371</f>
        <v>(kJ/(kg·°C)</v>
      </c>
      <c r="I4" s="53" t="str">
        <f ca="1">'Translation Table'!H372</f>
        <v>(kJ/kmol·°C)</v>
      </c>
      <c r="J4" s="53" t="str">
        <f ca="1">'Translation Table'!H373</f>
        <v>(kJ/(kg·°C)</v>
      </c>
      <c r="K4" s="48" t="str">
        <f ca="1">'Translation Table'!H374</f>
        <v>(MJ/m3)</v>
      </c>
      <c r="L4" s="48" t="str">
        <f ca="1">'Translation Table'!H375</f>
        <v>(MJ/kmol)</v>
      </c>
      <c r="M4" s="48" t="str">
        <f ca="1">'Translation Table'!H376</f>
        <v>(MJ/kmol)</v>
      </c>
      <c r="N4" s="48" t="str">
        <f ca="1">'Translation Table'!H377</f>
        <v>(GJ/10^3 Nm3)</v>
      </c>
      <c r="O4" s="48" t="str">
        <f ca="1">'Translation Table'!H378</f>
        <v>(MJ/m3)</v>
      </c>
      <c r="P4" s="48" t="str">
        <f ca="1">'Translation Table'!H379</f>
        <v>(MJ/kmol)</v>
      </c>
      <c r="Q4" s="48" t="str">
        <f ca="1">'Translation Table'!H380</f>
        <v>(MJ/kmol)</v>
      </c>
      <c r="R4" s="48" t="str">
        <f ca="1">'Translation Table'!H381</f>
        <v>(GJ/10^3 m3)</v>
      </c>
      <c r="S4" s="436"/>
      <c r="T4" s="436"/>
      <c r="U4" s="436"/>
      <c r="V4" s="436"/>
      <c r="W4" s="436"/>
      <c r="X4" s="436"/>
      <c r="Y4" s="436"/>
    </row>
    <row r="5" spans="1:25" ht="17" x14ac:dyDescent="0.45">
      <c r="A5" s="58" t="str">
        <f ca="1">'Translation Table'!H382</f>
        <v>Methane</v>
      </c>
      <c r="B5" s="58" t="s">
        <v>959</v>
      </c>
      <c r="C5" s="67">
        <v>16.042999999999999</v>
      </c>
      <c r="D5" s="67">
        <f>$B$32*$C5/$B$34/(273.15+15)</f>
        <v>0.67849950340646603</v>
      </c>
      <c r="E5" s="67">
        <f>$B$32*$C$5/$B$34/(273.15+$B$31)</f>
        <v>0.67849950340646603</v>
      </c>
      <c r="F5" s="67">
        <v>300</v>
      </c>
      <c r="G5" s="67">
        <v>0.05</v>
      </c>
      <c r="H5" s="67">
        <v>2.2040000000000002</v>
      </c>
      <c r="I5" s="67">
        <f>H5*D5*$B$34*(273.15+15)/$B$32</f>
        <v>35.358772000000002</v>
      </c>
      <c r="J5" s="67">
        <v>0</v>
      </c>
      <c r="K5" s="67">
        <v>33.936</v>
      </c>
      <c r="L5" s="67">
        <f>K5*($B$34*(273.15+15)/$B$32)</f>
        <v>802.4106801355274</v>
      </c>
      <c r="M5" s="67">
        <f>-(-L5-(15-$B$31)*($S5*$I$18+$T5/2*$I$20+$V5/2*$I$19+$U5*$I$21-$I5-($S5+$T5/4-$W5/2+$U5)*$I$22)/1000)</f>
        <v>802.4106801355274</v>
      </c>
      <c r="N5" s="67">
        <f>M5/$B$33</f>
        <v>33.936</v>
      </c>
      <c r="O5" s="50">
        <v>37.694000000000003</v>
      </c>
      <c r="P5" s="67">
        <f>O5*($B$34*(273.15+15)/$B$32)</f>
        <v>891.26792129386399</v>
      </c>
      <c r="Q5" s="68">
        <f>-(-P5-(15-$B$31)*($S5*$I$18+$T5/2*$J$20*F5*G5+$V5/2*$I$19+$U5*$I$21-$I5-($S5+$T5/4-$W5/2+$U5)*$I$22)/1000)</f>
        <v>891.26792129386399</v>
      </c>
      <c r="R5" s="67">
        <f>Q5/$B$33</f>
        <v>37.694000000000003</v>
      </c>
      <c r="S5" s="69">
        <v>1</v>
      </c>
      <c r="T5" s="69">
        <v>4</v>
      </c>
      <c r="U5" s="70">
        <v>0</v>
      </c>
      <c r="V5" s="70">
        <v>0</v>
      </c>
      <c r="W5" s="70">
        <v>0</v>
      </c>
      <c r="X5" s="71">
        <f>1000/B$33*S5*12.0107/1000</f>
        <v>0.50796322293611185</v>
      </c>
      <c r="Y5" s="71">
        <f t="shared" ref="Y5:Y22" si="0">S5*12.0107/C5</f>
        <v>0.74865673502462138</v>
      </c>
    </row>
    <row r="6" spans="1:25" ht="17" x14ac:dyDescent="0.45">
      <c r="A6" s="43" t="str">
        <f ca="1">'Translation Table'!H383</f>
        <v>Ethane</v>
      </c>
      <c r="B6" s="43" t="s">
        <v>960</v>
      </c>
      <c r="C6" s="60">
        <v>30.07</v>
      </c>
      <c r="D6" s="60">
        <f t="shared" ref="D6:D22" si="1">$B$32*$C6/$B$34/(273.15+15)</f>
        <v>1.2717372104614122</v>
      </c>
      <c r="E6" s="60">
        <f t="shared" ref="E6:E22" si="2">B$32*C6/B$34/(273.15+B$31)</f>
        <v>1.2717372104614122</v>
      </c>
      <c r="F6" s="60">
        <v>357.8</v>
      </c>
      <c r="G6" s="60">
        <v>8.4040000000000004E-2</v>
      </c>
      <c r="H6" s="60">
        <v>1.706</v>
      </c>
      <c r="I6" s="60">
        <f t="shared" ref="I6:I22" si="3">H6*D6*$B$34*(273.15+15)/$B$32</f>
        <v>51.299420000000005</v>
      </c>
      <c r="J6" s="60">
        <v>3.8069999999999999</v>
      </c>
      <c r="K6" s="60">
        <v>60.395000000000003</v>
      </c>
      <c r="L6" s="60">
        <f t="shared" ref="L6:L17" si="4">K6*($B$34*(273.15+15)/$B$32)</f>
        <v>1428.029026013236</v>
      </c>
      <c r="M6" s="60">
        <f t="shared" ref="M6:M17" si="5">-(-L6-(15-$B$31)*($S6*$I$18+$T6/2*$I$20+$V6/2*$I$19+$U6*$I$21-$I6-($S6+$T6/4-$W6/2+$U6)*$I$22)/1000)</f>
        <v>1428.029026013236</v>
      </c>
      <c r="N6" s="60">
        <f>M6/$B$33</f>
        <v>60.395000000000003</v>
      </c>
      <c r="O6" s="42">
        <v>66.031999999999996</v>
      </c>
      <c r="P6" s="60">
        <f t="shared" ref="P6:P17" si="6">O6*($B$34*(273.15+15)/$B$32)</f>
        <v>1561.3148877507408</v>
      </c>
      <c r="Q6" s="61">
        <f t="shared" ref="Q6:Q17" si="7">-(-P6-(15-$B$31)*($S6*$I$18+$T6/2*$J$20*F6*G6+$V6/2*$I$19+$U6*$I$21-$I6-($S6+$T6/4-$W6/2+$U6)*$I$22)/1000)</f>
        <v>1561.3148877507408</v>
      </c>
      <c r="R6" s="60">
        <f t="shared" ref="R6:R22" si="8">Q6/$B$33</f>
        <v>66.031999999999996</v>
      </c>
      <c r="S6" s="62">
        <v>2</v>
      </c>
      <c r="T6" s="62">
        <v>6</v>
      </c>
      <c r="U6" s="62">
        <v>0</v>
      </c>
      <c r="V6" s="62">
        <v>0</v>
      </c>
      <c r="W6" s="62">
        <v>0</v>
      </c>
      <c r="X6" s="44">
        <f t="shared" ref="X6:X22" si="9">1000/B$33*S6*12.0107/1000</f>
        <v>1.0159264458722237</v>
      </c>
      <c r="Y6" s="44">
        <f t="shared" si="0"/>
        <v>0.79884935151313596</v>
      </c>
    </row>
    <row r="7" spans="1:25" ht="17" x14ac:dyDescent="0.45">
      <c r="A7" s="58" t="str">
        <f ca="1">'Translation Table'!H384</f>
        <v>Propane</v>
      </c>
      <c r="B7" s="58" t="s">
        <v>961</v>
      </c>
      <c r="C7" s="67">
        <v>44.097000000000001</v>
      </c>
      <c r="D7" s="67">
        <f t="shared" si="1"/>
        <v>1.8649749175163581</v>
      </c>
      <c r="E7" s="67">
        <f t="shared" si="2"/>
        <v>1.8649749175163581</v>
      </c>
      <c r="F7" s="67">
        <v>507.8</v>
      </c>
      <c r="G7" s="67">
        <v>8.6840000000000001E-2</v>
      </c>
      <c r="H7" s="67">
        <v>1.625</v>
      </c>
      <c r="I7" s="67">
        <f t="shared" si="3"/>
        <v>71.657624999999996</v>
      </c>
      <c r="J7" s="67">
        <v>2.476</v>
      </c>
      <c r="K7" s="67">
        <v>86.456000000000003</v>
      </c>
      <c r="L7" s="67">
        <f t="shared" si="4"/>
        <v>2044.2367327262245</v>
      </c>
      <c r="M7" s="67">
        <f t="shared" si="5"/>
        <v>2044.2367327262245</v>
      </c>
      <c r="N7" s="67">
        <f t="shared" ref="N7:N22" si="10">M7/$B$33</f>
        <v>86.456000000000003</v>
      </c>
      <c r="O7" s="50">
        <v>93.971999999999994</v>
      </c>
      <c r="P7" s="67">
        <f t="shared" si="6"/>
        <v>2221.9512150428977</v>
      </c>
      <c r="Q7" s="68">
        <f t="shared" si="7"/>
        <v>2221.9512150428977</v>
      </c>
      <c r="R7" s="67">
        <f t="shared" si="8"/>
        <v>93.972000000000008</v>
      </c>
      <c r="S7" s="69">
        <v>3</v>
      </c>
      <c r="T7" s="69">
        <v>8</v>
      </c>
      <c r="U7" s="70">
        <v>0</v>
      </c>
      <c r="V7" s="70">
        <v>0</v>
      </c>
      <c r="W7" s="70">
        <v>0</v>
      </c>
      <c r="X7" s="71">
        <f t="shared" si="9"/>
        <v>1.5238896688083352</v>
      </c>
      <c r="Y7" s="71">
        <f t="shared" si="0"/>
        <v>0.81711000748350227</v>
      </c>
    </row>
    <row r="8" spans="1:25" ht="17" x14ac:dyDescent="0.45">
      <c r="A8" s="43" t="str">
        <f ca="1">'Translation Table'!H385</f>
        <v>iso-Butane</v>
      </c>
      <c r="B8" s="43" t="s">
        <v>962</v>
      </c>
      <c r="C8" s="60">
        <v>58.124000000000002</v>
      </c>
      <c r="D8" s="60">
        <f t="shared" si="1"/>
        <v>2.4582126245713045</v>
      </c>
      <c r="E8" s="60">
        <f t="shared" si="2"/>
        <v>2.4582126245713045</v>
      </c>
      <c r="F8" s="60">
        <v>563.20000000000005</v>
      </c>
      <c r="G8" s="60">
        <v>0.1032</v>
      </c>
      <c r="H8" s="60">
        <v>1.6160000000000001</v>
      </c>
      <c r="I8" s="60">
        <f t="shared" si="3"/>
        <v>93.928384000000023</v>
      </c>
      <c r="J8" s="60">
        <v>2.3660000000000001</v>
      </c>
      <c r="K8" s="42">
        <v>112.03100000000001</v>
      </c>
      <c r="L8" s="60">
        <f t="shared" si="4"/>
        <v>2648.9530559365649</v>
      </c>
      <c r="M8" s="60">
        <f t="shared" si="5"/>
        <v>2648.9530559365649</v>
      </c>
      <c r="N8" s="60">
        <f t="shared" si="10"/>
        <v>112.03100000000001</v>
      </c>
      <c r="O8" s="42">
        <v>121.426</v>
      </c>
      <c r="P8" s="60">
        <f t="shared" si="6"/>
        <v>2871.0961588324067</v>
      </c>
      <c r="Q8" s="61">
        <f t="shared" si="7"/>
        <v>2871.0961588324067</v>
      </c>
      <c r="R8" s="60">
        <f t="shared" si="8"/>
        <v>121.42600000000002</v>
      </c>
      <c r="S8" s="62">
        <v>4</v>
      </c>
      <c r="T8" s="62">
        <v>10</v>
      </c>
      <c r="U8" s="62">
        <v>0</v>
      </c>
      <c r="V8" s="62">
        <v>0</v>
      </c>
      <c r="W8" s="62">
        <v>0</v>
      </c>
      <c r="X8" s="44">
        <f t="shared" si="9"/>
        <v>2.0318528917444474</v>
      </c>
      <c r="Y8" s="44">
        <f t="shared" si="0"/>
        <v>0.82655701603468446</v>
      </c>
    </row>
    <row r="9" spans="1:25" ht="17" x14ac:dyDescent="0.45">
      <c r="A9" s="58" t="str">
        <f ca="1">'Translation Table'!H386</f>
        <v>n-Butane</v>
      </c>
      <c r="B9" s="58" t="s">
        <v>962</v>
      </c>
      <c r="C9" s="67">
        <v>58.124000000000002</v>
      </c>
      <c r="D9" s="67">
        <f t="shared" si="1"/>
        <v>2.4582126245713045</v>
      </c>
      <c r="E9" s="67">
        <f t="shared" si="2"/>
        <v>2.4582126245713045</v>
      </c>
      <c r="F9" s="67">
        <v>584.20000000000005</v>
      </c>
      <c r="G9" s="67">
        <v>9.9489999999999995E-2</v>
      </c>
      <c r="H9" s="67">
        <v>1.6519999999999999</v>
      </c>
      <c r="I9" s="67">
        <f t="shared" si="3"/>
        <v>96.020848000000001</v>
      </c>
      <c r="J9" s="67">
        <v>2.3660000000000001</v>
      </c>
      <c r="K9" s="67">
        <v>112.384</v>
      </c>
      <c r="L9" s="67">
        <f t="shared" si="4"/>
        <v>2657.2996781102988</v>
      </c>
      <c r="M9" s="67">
        <f t="shared" si="5"/>
        <v>2657.2996781102988</v>
      </c>
      <c r="N9" s="67">
        <f t="shared" si="10"/>
        <v>112.384</v>
      </c>
      <c r="O9" s="50">
        <v>121.779</v>
      </c>
      <c r="P9" s="67">
        <f t="shared" si="6"/>
        <v>2879.4427810061406</v>
      </c>
      <c r="Q9" s="68">
        <f t="shared" si="7"/>
        <v>2879.4427810061406</v>
      </c>
      <c r="R9" s="67">
        <f t="shared" si="8"/>
        <v>121.77900000000001</v>
      </c>
      <c r="S9" s="69">
        <v>4</v>
      </c>
      <c r="T9" s="69">
        <v>10</v>
      </c>
      <c r="U9" s="70">
        <v>0</v>
      </c>
      <c r="V9" s="70">
        <v>0</v>
      </c>
      <c r="W9" s="70">
        <v>0</v>
      </c>
      <c r="X9" s="71">
        <f t="shared" si="9"/>
        <v>2.0318528917444474</v>
      </c>
      <c r="Y9" s="71">
        <f t="shared" si="0"/>
        <v>0.82655701603468446</v>
      </c>
    </row>
    <row r="10" spans="1:25" ht="17" x14ac:dyDescent="0.45">
      <c r="A10" s="43" t="str">
        <f ca="1">'Translation Table'!H387</f>
        <v>iso-Pentane</v>
      </c>
      <c r="B10" s="43" t="s">
        <v>963</v>
      </c>
      <c r="C10" s="60">
        <v>72.150999999999996</v>
      </c>
      <c r="D10" s="60">
        <f t="shared" si="1"/>
        <v>3.0514503316262505</v>
      </c>
      <c r="E10" s="60">
        <f t="shared" si="2"/>
        <v>3.0514503316262505</v>
      </c>
      <c r="F10" s="60">
        <v>624.4</v>
      </c>
      <c r="G10" s="60">
        <v>0.11559999999999999</v>
      </c>
      <c r="H10" s="60">
        <v>1.6</v>
      </c>
      <c r="I10" s="60">
        <f t="shared" si="3"/>
        <v>115.44160000000002</v>
      </c>
      <c r="J10" s="60">
        <v>2.2389999999999999</v>
      </c>
      <c r="K10" s="42">
        <v>138.04400000000001</v>
      </c>
      <c r="L10" s="60">
        <f t="shared" si="4"/>
        <v>3264.0258111925018</v>
      </c>
      <c r="M10" s="60">
        <f t="shared" si="5"/>
        <v>3264.0258111925018</v>
      </c>
      <c r="N10" s="60">
        <f t="shared" si="10"/>
        <v>138.04400000000001</v>
      </c>
      <c r="O10" s="42">
        <v>149.31899999999999</v>
      </c>
      <c r="P10" s="60">
        <f t="shared" si="6"/>
        <v>3530.621179489533</v>
      </c>
      <c r="Q10" s="61">
        <f t="shared" si="7"/>
        <v>3530.621179489533</v>
      </c>
      <c r="R10" s="60">
        <f t="shared" si="8"/>
        <v>149.31899999999999</v>
      </c>
      <c r="S10" s="62">
        <v>5</v>
      </c>
      <c r="T10" s="62">
        <v>12</v>
      </c>
      <c r="U10" s="62">
        <v>0</v>
      </c>
      <c r="V10" s="62">
        <v>0</v>
      </c>
      <c r="W10" s="62">
        <v>0</v>
      </c>
      <c r="X10" s="44">
        <f t="shared" si="9"/>
        <v>2.5398161146805593</v>
      </c>
      <c r="Y10" s="44">
        <f t="shared" si="0"/>
        <v>0.832330806225832</v>
      </c>
    </row>
    <row r="11" spans="1:25" ht="17" x14ac:dyDescent="0.45">
      <c r="A11" s="58" t="str">
        <f ca="1">'Translation Table'!H388</f>
        <v>n-Pentane</v>
      </c>
      <c r="B11" s="58" t="s">
        <v>963</v>
      </c>
      <c r="C11" s="67">
        <v>72.150999999999996</v>
      </c>
      <c r="D11" s="67">
        <f t="shared" si="1"/>
        <v>3.0514503316262505</v>
      </c>
      <c r="E11" s="67">
        <f t="shared" si="2"/>
        <v>3.0514503316262505</v>
      </c>
      <c r="F11" s="67">
        <v>631</v>
      </c>
      <c r="G11" s="67">
        <v>0.1143</v>
      </c>
      <c r="H11" s="67">
        <v>1.6220000000000001</v>
      </c>
      <c r="I11" s="67">
        <f t="shared" si="3"/>
        <v>117.02892200000001</v>
      </c>
      <c r="J11" s="67">
        <v>2.2919999999999998</v>
      </c>
      <c r="K11" s="67">
        <v>138.38</v>
      </c>
      <c r="L11" s="67">
        <f t="shared" si="4"/>
        <v>3271.9704713918632</v>
      </c>
      <c r="M11" s="67">
        <f t="shared" si="5"/>
        <v>3271.9704713918632</v>
      </c>
      <c r="N11" s="67">
        <f t="shared" si="10"/>
        <v>138.38</v>
      </c>
      <c r="O11" s="50">
        <v>149.654</v>
      </c>
      <c r="P11" s="67">
        <f t="shared" si="6"/>
        <v>3538.5421948668732</v>
      </c>
      <c r="Q11" s="68">
        <f t="shared" si="7"/>
        <v>3538.5421948668732</v>
      </c>
      <c r="R11" s="67">
        <f t="shared" si="8"/>
        <v>149.654</v>
      </c>
      <c r="S11" s="69">
        <v>5</v>
      </c>
      <c r="T11" s="69">
        <v>12</v>
      </c>
      <c r="U11" s="70">
        <v>0</v>
      </c>
      <c r="V11" s="70">
        <v>0</v>
      </c>
      <c r="W11" s="70">
        <v>0</v>
      </c>
      <c r="X11" s="71">
        <f t="shared" si="9"/>
        <v>2.5398161146805593</v>
      </c>
      <c r="Y11" s="71">
        <f t="shared" si="0"/>
        <v>0.832330806225832</v>
      </c>
    </row>
    <row r="12" spans="1:25" ht="17" x14ac:dyDescent="0.45">
      <c r="A12" s="43" t="str">
        <f ca="1">'Translation Table'!H389</f>
        <v>Hexane</v>
      </c>
      <c r="B12" s="43" t="s">
        <v>964</v>
      </c>
      <c r="C12" s="60">
        <v>86.177999999999997</v>
      </c>
      <c r="D12" s="60">
        <f t="shared" si="1"/>
        <v>3.644688038681196</v>
      </c>
      <c r="E12" s="60">
        <f t="shared" si="2"/>
        <v>3.644688038681196</v>
      </c>
      <c r="F12" s="60">
        <v>663.8</v>
      </c>
      <c r="G12" s="60">
        <v>0.1298</v>
      </c>
      <c r="H12" s="60">
        <v>1.613</v>
      </c>
      <c r="I12" s="60">
        <f t="shared" si="3"/>
        <v>139.00511399999999</v>
      </c>
      <c r="J12" s="60">
        <v>2.2309999999999999</v>
      </c>
      <c r="K12" s="42">
        <v>164.40199999999999</v>
      </c>
      <c r="L12" s="60">
        <f t="shared" si="4"/>
        <v>3887.2560300459972</v>
      </c>
      <c r="M12" s="60">
        <f t="shared" si="5"/>
        <v>3887.2560300459972</v>
      </c>
      <c r="N12" s="60">
        <f t="shared" si="10"/>
        <v>164.40199999999999</v>
      </c>
      <c r="O12" s="42">
        <v>177.55600000000001</v>
      </c>
      <c r="P12" s="60">
        <f t="shared" si="6"/>
        <v>4198.280018922198</v>
      </c>
      <c r="Q12" s="61">
        <f t="shared" si="7"/>
        <v>4198.280018922198</v>
      </c>
      <c r="R12" s="60">
        <f t="shared" si="8"/>
        <v>177.55600000000001</v>
      </c>
      <c r="S12" s="62">
        <v>6</v>
      </c>
      <c r="T12" s="62">
        <v>14</v>
      </c>
      <c r="U12" s="62">
        <v>0</v>
      </c>
      <c r="V12" s="62">
        <v>0</v>
      </c>
      <c r="W12" s="62">
        <v>0</v>
      </c>
      <c r="X12" s="44">
        <f t="shared" si="9"/>
        <v>3.0477793376166704</v>
      </c>
      <c r="Y12" s="44">
        <f t="shared" si="0"/>
        <v>0.8362250226275848</v>
      </c>
    </row>
    <row r="13" spans="1:25" ht="17" x14ac:dyDescent="0.45">
      <c r="A13" s="58" t="str">
        <f ca="1">'Translation Table'!H390</f>
        <v>Heptane</v>
      </c>
      <c r="B13" s="58" t="s">
        <v>965</v>
      </c>
      <c r="C13" s="67">
        <v>100.205</v>
      </c>
      <c r="D13" s="67">
        <f t="shared" si="1"/>
        <v>4.2379257457361419</v>
      </c>
      <c r="E13" s="67">
        <f t="shared" si="2"/>
        <v>4.2379257457361419</v>
      </c>
      <c r="F13" s="67">
        <v>688</v>
      </c>
      <c r="G13" s="67">
        <v>0.14560000000000001</v>
      </c>
      <c r="H13" s="67">
        <v>1.6060000000000001</v>
      </c>
      <c r="I13" s="67">
        <f t="shared" si="3"/>
        <v>160.92922999999999</v>
      </c>
      <c r="J13" s="67">
        <v>2.2090000000000001</v>
      </c>
      <c r="K13" s="67">
        <v>190.398</v>
      </c>
      <c r="L13" s="67">
        <f t="shared" si="4"/>
        <v>4501.9268233275616</v>
      </c>
      <c r="M13" s="67">
        <f t="shared" si="5"/>
        <v>4501.9268233275616</v>
      </c>
      <c r="N13" s="67">
        <f t="shared" si="10"/>
        <v>190.398</v>
      </c>
      <c r="O13" s="50">
        <v>205.43100000000001</v>
      </c>
      <c r="P13" s="67">
        <f t="shared" si="6"/>
        <v>4857.3794327829301</v>
      </c>
      <c r="Q13" s="68">
        <f t="shared" si="7"/>
        <v>4857.3794327829301</v>
      </c>
      <c r="R13" s="67">
        <f t="shared" si="8"/>
        <v>205.43099999999998</v>
      </c>
      <c r="S13" s="69">
        <v>7</v>
      </c>
      <c r="T13" s="69">
        <v>16</v>
      </c>
      <c r="U13" s="70">
        <v>0</v>
      </c>
      <c r="V13" s="70">
        <v>0</v>
      </c>
      <c r="W13" s="70">
        <v>0</v>
      </c>
      <c r="X13" s="71">
        <f t="shared" si="9"/>
        <v>3.5557425605527824</v>
      </c>
      <c r="Y13" s="71">
        <f t="shared" si="0"/>
        <v>0.83902899056933289</v>
      </c>
    </row>
    <row r="14" spans="1:25" ht="17" x14ac:dyDescent="0.45">
      <c r="A14" s="43" t="str">
        <f ca="1">'Translation Table'!H391</f>
        <v>Octane</v>
      </c>
      <c r="B14" s="43" t="s">
        <v>966</v>
      </c>
      <c r="C14" s="60">
        <v>114.229</v>
      </c>
      <c r="D14" s="60">
        <f t="shared" si="1"/>
        <v>4.8310365751179463</v>
      </c>
      <c r="E14" s="60">
        <f t="shared" si="2"/>
        <v>4.8310365751179463</v>
      </c>
      <c r="F14" s="60">
        <v>706.7</v>
      </c>
      <c r="G14" s="60">
        <v>0.16159999999999999</v>
      </c>
      <c r="H14" s="60">
        <v>1.601</v>
      </c>
      <c r="I14" s="60">
        <f t="shared" si="3"/>
        <v>182.880629</v>
      </c>
      <c r="J14" s="60">
        <v>2.1909999999999998</v>
      </c>
      <c r="K14" s="42">
        <v>216.37200000000001</v>
      </c>
      <c r="L14" s="60">
        <f t="shared" si="4"/>
        <v>5116.0774305246441</v>
      </c>
      <c r="M14" s="60">
        <f t="shared" si="5"/>
        <v>5116.0774305246441</v>
      </c>
      <c r="N14" s="60">
        <f t="shared" si="10"/>
        <v>216.37199999999999</v>
      </c>
      <c r="O14" s="42">
        <v>233.285</v>
      </c>
      <c r="P14" s="60">
        <f t="shared" si="6"/>
        <v>5515.9823053812024</v>
      </c>
      <c r="Q14" s="61">
        <f t="shared" si="7"/>
        <v>5515.9823053812024</v>
      </c>
      <c r="R14" s="60">
        <f t="shared" si="8"/>
        <v>233.285</v>
      </c>
      <c r="S14" s="62">
        <v>8</v>
      </c>
      <c r="T14" s="62">
        <v>18</v>
      </c>
      <c r="U14" s="62">
        <v>0</v>
      </c>
      <c r="V14" s="62">
        <v>0</v>
      </c>
      <c r="W14" s="62">
        <v>0</v>
      </c>
      <c r="X14" s="44">
        <f t="shared" si="9"/>
        <v>4.0637057834888948</v>
      </c>
      <c r="Y14" s="44">
        <f t="shared" si="0"/>
        <v>0.84116642884031201</v>
      </c>
    </row>
    <row r="15" spans="1:25" ht="17" x14ac:dyDescent="0.45">
      <c r="A15" s="58" t="str">
        <f ca="1">'Translation Table'!H392</f>
        <v>Nonane</v>
      </c>
      <c r="B15" s="58" t="s">
        <v>967</v>
      </c>
      <c r="C15" s="67">
        <v>128.255</v>
      </c>
      <c r="D15" s="67">
        <f t="shared" si="1"/>
        <v>5.4242319896151781</v>
      </c>
      <c r="E15" s="67">
        <f t="shared" si="2"/>
        <v>5.4242319896151781</v>
      </c>
      <c r="F15" s="67">
        <v>721.7</v>
      </c>
      <c r="G15" s="67">
        <v>0.1777</v>
      </c>
      <c r="H15" s="67">
        <v>1.5980000000000001</v>
      </c>
      <c r="I15" s="67">
        <f t="shared" si="3"/>
        <v>204.95149000000001</v>
      </c>
      <c r="J15" s="67">
        <v>2.1840000000000002</v>
      </c>
      <c r="K15" s="67">
        <v>242.398</v>
      </c>
      <c r="L15" s="67">
        <f t="shared" si="4"/>
        <v>5731.4575684668653</v>
      </c>
      <c r="M15" s="67">
        <f t="shared" si="5"/>
        <v>5731.4575684668653</v>
      </c>
      <c r="N15" s="67">
        <f t="shared" si="10"/>
        <v>242.39799999999997</v>
      </c>
      <c r="O15" s="50">
        <v>261.19</v>
      </c>
      <c r="P15" s="67">
        <f t="shared" si="6"/>
        <v>6175.7910639025931</v>
      </c>
      <c r="Q15" s="68">
        <f t="shared" si="7"/>
        <v>6175.7910639025931</v>
      </c>
      <c r="R15" s="67">
        <f t="shared" si="8"/>
        <v>261.19</v>
      </c>
      <c r="S15" s="69">
        <v>9</v>
      </c>
      <c r="T15" s="69">
        <v>20</v>
      </c>
      <c r="U15" s="70">
        <v>0</v>
      </c>
      <c r="V15" s="70">
        <v>0</v>
      </c>
      <c r="W15" s="70">
        <v>0</v>
      </c>
      <c r="X15" s="71">
        <f t="shared" si="9"/>
        <v>4.5716690064250063</v>
      </c>
      <c r="Y15" s="71">
        <f t="shared" si="0"/>
        <v>0.84282328174340182</v>
      </c>
    </row>
    <row r="16" spans="1:25" ht="17" x14ac:dyDescent="0.45">
      <c r="A16" s="43" t="str">
        <f ca="1">'Translation Table'!H393</f>
        <v>Decane</v>
      </c>
      <c r="B16" s="43" t="s">
        <v>968</v>
      </c>
      <c r="C16" s="60">
        <v>142.28200000000001</v>
      </c>
      <c r="D16" s="60">
        <f t="shared" si="1"/>
        <v>6.0174696966701253</v>
      </c>
      <c r="E16" s="60">
        <f t="shared" si="2"/>
        <v>6.0174696966701253</v>
      </c>
      <c r="F16" s="60">
        <v>733.9</v>
      </c>
      <c r="G16" s="60">
        <v>0.19389999999999999</v>
      </c>
      <c r="H16" s="60">
        <v>1.595</v>
      </c>
      <c r="I16" s="60">
        <f t="shared" si="3"/>
        <v>226.93979000000002</v>
      </c>
      <c r="J16" s="60">
        <v>2.1789999999999998</v>
      </c>
      <c r="K16" s="42">
        <v>268.39299999999997</v>
      </c>
      <c r="L16" s="60">
        <f t="shared" si="4"/>
        <v>6346.1047169264075</v>
      </c>
      <c r="M16" s="60">
        <f t="shared" si="5"/>
        <v>6346.1047169264075</v>
      </c>
      <c r="N16" s="60">
        <f t="shared" si="10"/>
        <v>268.39299999999997</v>
      </c>
      <c r="O16" s="42">
        <v>289.06400000000002</v>
      </c>
      <c r="P16" s="60">
        <f t="shared" si="6"/>
        <v>6834.866832941304</v>
      </c>
      <c r="Q16" s="61">
        <f t="shared" si="7"/>
        <v>6834.866832941304</v>
      </c>
      <c r="R16" s="60">
        <f t="shared" si="8"/>
        <v>289.06400000000002</v>
      </c>
      <c r="S16" s="62">
        <v>10</v>
      </c>
      <c r="T16" s="62">
        <v>22</v>
      </c>
      <c r="U16" s="62">
        <v>0</v>
      </c>
      <c r="V16" s="62">
        <v>0</v>
      </c>
      <c r="W16" s="62">
        <v>0</v>
      </c>
      <c r="X16" s="44">
        <f t="shared" si="9"/>
        <v>5.0796322293611187</v>
      </c>
      <c r="Y16" s="44">
        <f t="shared" si="0"/>
        <v>0.8441475379879394</v>
      </c>
    </row>
    <row r="17" spans="1:25" ht="17" x14ac:dyDescent="0.45">
      <c r="A17" s="58" t="str">
        <f ca="1">'Translation Table'!H394</f>
        <v>Hydrogen Sulphide</v>
      </c>
      <c r="B17" s="58" t="s">
        <v>969</v>
      </c>
      <c r="C17" s="67">
        <v>34.076000000000001</v>
      </c>
      <c r="D17" s="67">
        <f t="shared" si="1"/>
        <v>1.4411611966638869</v>
      </c>
      <c r="E17" s="67">
        <f t="shared" si="2"/>
        <v>1.4411611966638869</v>
      </c>
      <c r="F17" s="67">
        <v>789</v>
      </c>
      <c r="G17" s="67">
        <v>4.3189999999999999E-2</v>
      </c>
      <c r="H17" s="67">
        <v>0.996</v>
      </c>
      <c r="I17" s="67">
        <f t="shared" si="3"/>
        <v>33.939695999999998</v>
      </c>
      <c r="J17" s="67">
        <v>0.996</v>
      </c>
      <c r="K17" s="67">
        <v>21.911999999999999</v>
      </c>
      <c r="L17" s="67">
        <f t="shared" si="4"/>
        <v>518.10534014408518</v>
      </c>
      <c r="M17" s="67">
        <f t="shared" si="5"/>
        <v>518.10534014408518</v>
      </c>
      <c r="N17" s="67">
        <f t="shared" si="10"/>
        <v>21.911999999999999</v>
      </c>
      <c r="O17" s="50">
        <v>23.791</v>
      </c>
      <c r="P17" s="67">
        <f t="shared" si="6"/>
        <v>562.53396072325347</v>
      </c>
      <c r="Q17" s="68">
        <f t="shared" si="7"/>
        <v>562.53396072325347</v>
      </c>
      <c r="R17" s="67">
        <f t="shared" si="8"/>
        <v>23.790999999999997</v>
      </c>
      <c r="S17" s="69">
        <v>0</v>
      </c>
      <c r="T17" s="69">
        <v>2</v>
      </c>
      <c r="U17" s="70">
        <v>1</v>
      </c>
      <c r="V17" s="70">
        <v>0</v>
      </c>
      <c r="W17" s="70">
        <v>0</v>
      </c>
      <c r="X17" s="71">
        <f t="shared" si="9"/>
        <v>0</v>
      </c>
      <c r="Y17" s="71">
        <f t="shared" si="0"/>
        <v>0</v>
      </c>
    </row>
    <row r="18" spans="1:25" ht="17" x14ac:dyDescent="0.45">
      <c r="A18" s="43" t="str">
        <f ca="1">'Translation Table'!H395</f>
        <v>Carbon Dioxide</v>
      </c>
      <c r="B18" s="43" t="s">
        <v>970</v>
      </c>
      <c r="C18" s="60">
        <v>44.01</v>
      </c>
      <c r="D18" s="60">
        <f t="shared" si="1"/>
        <v>1.8612954649952362</v>
      </c>
      <c r="E18" s="60">
        <f t="shared" si="2"/>
        <v>1.8612954649952362</v>
      </c>
      <c r="F18" s="60">
        <v>821.9</v>
      </c>
      <c r="G18" s="60">
        <v>5.355E-2</v>
      </c>
      <c r="H18" s="60">
        <v>0.83299999999999996</v>
      </c>
      <c r="I18" s="60">
        <f t="shared" si="3"/>
        <v>36.660330000000002</v>
      </c>
      <c r="J18" s="60">
        <v>0</v>
      </c>
      <c r="K18" s="42">
        <v>0</v>
      </c>
      <c r="L18" s="42">
        <v>0</v>
      </c>
      <c r="M18" s="60">
        <v>0</v>
      </c>
      <c r="N18" s="60">
        <f t="shared" si="10"/>
        <v>0</v>
      </c>
      <c r="O18" s="42">
        <v>0</v>
      </c>
      <c r="P18" s="42">
        <v>0</v>
      </c>
      <c r="Q18" s="61">
        <v>0</v>
      </c>
      <c r="R18" s="60">
        <f t="shared" si="8"/>
        <v>0</v>
      </c>
      <c r="S18" s="62">
        <v>0</v>
      </c>
      <c r="T18" s="62">
        <v>0</v>
      </c>
      <c r="U18" s="62">
        <v>0</v>
      </c>
      <c r="V18" s="62">
        <v>0</v>
      </c>
      <c r="W18" s="62">
        <v>0</v>
      </c>
      <c r="X18" s="44">
        <f t="shared" si="9"/>
        <v>0</v>
      </c>
      <c r="Y18" s="44">
        <f t="shared" si="0"/>
        <v>0</v>
      </c>
    </row>
    <row r="19" spans="1:25" ht="17" x14ac:dyDescent="0.45">
      <c r="A19" s="58" t="str">
        <f ca="1">'Translation Table'!H396</f>
        <v>Nitrogen</v>
      </c>
      <c r="B19" s="58" t="s">
        <v>971</v>
      </c>
      <c r="C19" s="67">
        <v>28.013000000000002</v>
      </c>
      <c r="D19" s="67">
        <f t="shared" si="1"/>
        <v>1.1847414192436163</v>
      </c>
      <c r="E19" s="67">
        <f t="shared" si="2"/>
        <v>1.1847414192436163</v>
      </c>
      <c r="F19" s="67">
        <v>808.6</v>
      </c>
      <c r="G19" s="67">
        <v>3.4639999999999997E-2</v>
      </c>
      <c r="H19" s="67">
        <v>1.04</v>
      </c>
      <c r="I19" s="67">
        <f t="shared" si="3"/>
        <v>29.133520000000004</v>
      </c>
      <c r="J19" s="67">
        <v>0</v>
      </c>
      <c r="K19" s="67">
        <v>0</v>
      </c>
      <c r="L19" s="67">
        <v>0</v>
      </c>
      <c r="M19" s="67">
        <v>0</v>
      </c>
      <c r="N19" s="67">
        <f t="shared" si="10"/>
        <v>0</v>
      </c>
      <c r="O19" s="50">
        <v>0</v>
      </c>
      <c r="P19" s="67">
        <v>0</v>
      </c>
      <c r="Q19" s="68">
        <v>0</v>
      </c>
      <c r="R19" s="67">
        <f t="shared" si="8"/>
        <v>0</v>
      </c>
      <c r="S19" s="69">
        <v>0</v>
      </c>
      <c r="T19" s="69">
        <v>0</v>
      </c>
      <c r="U19" s="70">
        <v>0</v>
      </c>
      <c r="V19" s="70">
        <v>2</v>
      </c>
      <c r="W19" s="70">
        <v>0</v>
      </c>
      <c r="X19" s="71">
        <f t="shared" si="9"/>
        <v>0</v>
      </c>
      <c r="Y19" s="71">
        <f t="shared" si="0"/>
        <v>0</v>
      </c>
    </row>
    <row r="20" spans="1:25" ht="17" x14ac:dyDescent="0.45">
      <c r="A20" s="43" t="str">
        <f ca="1">'Translation Table'!H397</f>
        <v>Water</v>
      </c>
      <c r="B20" s="43" t="s">
        <v>972</v>
      </c>
      <c r="C20" s="60">
        <v>18.015000000000001</v>
      </c>
      <c r="D20" s="60">
        <f t="shared" si="1"/>
        <v>0.76190042721856799</v>
      </c>
      <c r="E20" s="60">
        <f t="shared" si="2"/>
        <v>0.76190042721856799</v>
      </c>
      <c r="F20" s="60">
        <v>999.1</v>
      </c>
      <c r="G20" s="60">
        <v>1.8030000000000001E-2</v>
      </c>
      <c r="H20" s="60">
        <v>1.8620000000000001</v>
      </c>
      <c r="I20" s="60">
        <f t="shared" si="3"/>
        <v>33.543929999999996</v>
      </c>
      <c r="J20" s="60">
        <v>4.1909999999999998</v>
      </c>
      <c r="K20" s="42">
        <v>0</v>
      </c>
      <c r="L20" s="42">
        <v>0</v>
      </c>
      <c r="M20" s="60">
        <v>0</v>
      </c>
      <c r="N20" s="60">
        <f t="shared" si="10"/>
        <v>0</v>
      </c>
      <c r="O20" s="42">
        <v>0</v>
      </c>
      <c r="P20" s="42">
        <v>0</v>
      </c>
      <c r="Q20" s="61">
        <v>0</v>
      </c>
      <c r="R20" s="60">
        <f t="shared" si="8"/>
        <v>0</v>
      </c>
      <c r="S20" s="62">
        <v>0</v>
      </c>
      <c r="T20" s="62">
        <v>2</v>
      </c>
      <c r="U20" s="62">
        <v>0</v>
      </c>
      <c r="V20" s="62">
        <v>0</v>
      </c>
      <c r="W20" s="62">
        <v>1</v>
      </c>
      <c r="X20" s="44">
        <f t="shared" si="9"/>
        <v>0</v>
      </c>
      <c r="Y20" s="44">
        <f t="shared" si="0"/>
        <v>0</v>
      </c>
    </row>
    <row r="21" spans="1:25" ht="17" x14ac:dyDescent="0.45">
      <c r="A21" s="58" t="str">
        <f ca="1">'Translation Table'!H398</f>
        <v>Sulphur Dioxide</v>
      </c>
      <c r="B21" s="58" t="s">
        <v>973</v>
      </c>
      <c r="C21" s="67">
        <v>64.058999999999997</v>
      </c>
      <c r="D21" s="67">
        <f t="shared" si="1"/>
        <v>2.7092189546041769</v>
      </c>
      <c r="E21" s="67">
        <f t="shared" si="2"/>
        <v>2.7092189546041769</v>
      </c>
      <c r="F21" s="67">
        <v>1396</v>
      </c>
      <c r="G21" s="67">
        <v>4.589E-2</v>
      </c>
      <c r="H21" s="67">
        <v>0.60619999999999996</v>
      </c>
      <c r="I21" s="67">
        <f t="shared" si="3"/>
        <v>38.832565799999998</v>
      </c>
      <c r="J21" s="67">
        <v>1.359</v>
      </c>
      <c r="K21" s="67">
        <v>0</v>
      </c>
      <c r="L21" s="67">
        <v>0</v>
      </c>
      <c r="M21" s="67">
        <v>0</v>
      </c>
      <c r="N21" s="67">
        <f t="shared" si="10"/>
        <v>0</v>
      </c>
      <c r="O21" s="50">
        <v>0</v>
      </c>
      <c r="P21" s="67">
        <v>0</v>
      </c>
      <c r="Q21" s="68">
        <v>0</v>
      </c>
      <c r="R21" s="67">
        <f t="shared" si="8"/>
        <v>0</v>
      </c>
      <c r="S21" s="69">
        <v>0</v>
      </c>
      <c r="T21" s="69">
        <v>0</v>
      </c>
      <c r="U21" s="70">
        <v>1</v>
      </c>
      <c r="V21" s="70">
        <v>2</v>
      </c>
      <c r="W21" s="70">
        <v>0</v>
      </c>
      <c r="X21" s="71">
        <f t="shared" si="9"/>
        <v>0</v>
      </c>
      <c r="Y21" s="71">
        <f t="shared" si="0"/>
        <v>0</v>
      </c>
    </row>
    <row r="22" spans="1:25" ht="17" x14ac:dyDescent="0.45">
      <c r="A22" s="43" t="str">
        <f ca="1">'Translation Table'!H399</f>
        <v>Oxygen</v>
      </c>
      <c r="B22" s="43" t="s">
        <v>974</v>
      </c>
      <c r="C22" s="60">
        <v>31.998999999999999</v>
      </c>
      <c r="D22" s="60">
        <f t="shared" si="1"/>
        <v>1.3533195542918099</v>
      </c>
      <c r="E22" s="60">
        <f t="shared" si="2"/>
        <v>1.3533195542918099</v>
      </c>
      <c r="F22" s="60">
        <v>1141</v>
      </c>
      <c r="G22" s="60">
        <v>2.8039999999999999E-2</v>
      </c>
      <c r="H22" s="60">
        <v>0.91659999999999997</v>
      </c>
      <c r="I22" s="60">
        <f t="shared" si="3"/>
        <v>29.330283400000003</v>
      </c>
      <c r="J22" s="60">
        <v>0</v>
      </c>
      <c r="K22" s="42">
        <v>0</v>
      </c>
      <c r="L22" s="42">
        <v>0</v>
      </c>
      <c r="M22" s="60">
        <f>-(-L22-(15-$B$31)*($S22*$H$18+$T22/2*$H$20+$V22/2*$H$19+$U22*$H$21-$H22-($S22+$T22/4-$W22/2+$U22)*$H$22))</f>
        <v>0</v>
      </c>
      <c r="N22" s="60">
        <f t="shared" si="10"/>
        <v>0</v>
      </c>
      <c r="O22" s="42">
        <v>0</v>
      </c>
      <c r="P22" s="42">
        <v>0</v>
      </c>
      <c r="Q22" s="61">
        <v>0</v>
      </c>
      <c r="R22" s="60">
        <f t="shared" si="8"/>
        <v>0</v>
      </c>
      <c r="S22" s="62">
        <v>0</v>
      </c>
      <c r="T22" s="62">
        <v>0</v>
      </c>
      <c r="U22" s="62">
        <v>0</v>
      </c>
      <c r="V22" s="62">
        <v>0</v>
      </c>
      <c r="W22" s="62">
        <v>2</v>
      </c>
      <c r="X22" s="44">
        <f t="shared" si="9"/>
        <v>0</v>
      </c>
      <c r="Y22" s="44">
        <f t="shared" si="0"/>
        <v>0</v>
      </c>
    </row>
    <row r="23" spans="1:25" x14ac:dyDescent="0.3">
      <c r="C23" s="235"/>
      <c r="D23" s="235"/>
      <c r="E23" s="235"/>
      <c r="F23" s="235"/>
      <c r="G23" s="235"/>
      <c r="H23" s="235"/>
      <c r="I23" s="235"/>
      <c r="J23" s="235"/>
      <c r="K23" s="236"/>
      <c r="L23" s="236"/>
      <c r="M23" s="235"/>
      <c r="N23" s="235"/>
      <c r="O23" s="236"/>
      <c r="P23" s="236"/>
      <c r="Q23" s="237"/>
      <c r="R23" s="235"/>
      <c r="S23" s="65"/>
      <c r="T23" s="65"/>
      <c r="U23" s="65"/>
      <c r="V23" s="65"/>
      <c r="W23" s="65"/>
      <c r="X23" s="66"/>
      <c r="Y23" s="66"/>
    </row>
    <row r="24" spans="1:25" x14ac:dyDescent="0.3">
      <c r="A24" s="245" t="str">
        <f ca="1">'Translation Table'!H400</f>
        <v>Carbon Monoxide</v>
      </c>
      <c r="B24" s="245" t="str">
        <f ca="1">'Translation Table'!H404</f>
        <v>CO</v>
      </c>
      <c r="C24" s="238">
        <v>28.01</v>
      </c>
      <c r="D24" s="235"/>
      <c r="E24" s="235"/>
      <c r="F24" s="235"/>
      <c r="G24" s="235"/>
      <c r="H24" s="235"/>
      <c r="I24" s="235"/>
      <c r="J24" s="235"/>
      <c r="K24" s="236"/>
      <c r="L24" s="236"/>
      <c r="M24" s="235"/>
      <c r="N24" s="235"/>
      <c r="O24" s="236"/>
      <c r="P24" s="236"/>
      <c r="Q24" s="237"/>
      <c r="R24" s="235"/>
      <c r="S24" s="65"/>
      <c r="T24" s="65"/>
      <c r="U24" s="65"/>
      <c r="V24" s="65"/>
      <c r="W24" s="65"/>
      <c r="X24" s="66"/>
      <c r="Y24" s="66"/>
    </row>
    <row r="25" spans="1:25" x14ac:dyDescent="0.3">
      <c r="A25" s="245" t="str">
        <f ca="1">'Translation Table'!H401</f>
        <v>Nitrous Oxide</v>
      </c>
      <c r="B25" s="245" t="str">
        <f ca="1">'Translation Table'!H405</f>
        <v>N2O</v>
      </c>
      <c r="C25" s="238">
        <v>44.012999999999998</v>
      </c>
      <c r="D25" s="235"/>
      <c r="E25" s="235"/>
      <c r="F25" s="235"/>
      <c r="G25" s="235"/>
      <c r="H25" s="235"/>
      <c r="I25" s="235"/>
      <c r="J25" s="235"/>
      <c r="K25" s="236"/>
      <c r="L25" s="236"/>
      <c r="M25" s="235"/>
      <c r="N25" s="235"/>
      <c r="O25" s="236"/>
      <c r="P25" s="236"/>
      <c r="Q25" s="237"/>
      <c r="R25" s="235"/>
      <c r="S25" s="65"/>
      <c r="T25" s="65"/>
      <c r="U25" s="65"/>
      <c r="V25" s="65"/>
      <c r="W25" s="65"/>
      <c r="X25" s="66"/>
      <c r="Y25" s="66"/>
    </row>
    <row r="26" spans="1:25" x14ac:dyDescent="0.3">
      <c r="A26" s="245" t="str">
        <f ca="1">'Translation Table'!H402</f>
        <v>Oxides of Nitrogen</v>
      </c>
      <c r="B26" s="245" t="str">
        <f ca="1">'Translation Table'!H406</f>
        <v>NOx</v>
      </c>
      <c r="C26" s="238">
        <v>46.005499999999998</v>
      </c>
      <c r="D26" s="235"/>
      <c r="E26" s="235"/>
      <c r="F26" s="235"/>
      <c r="G26" s="235"/>
      <c r="H26" s="235"/>
      <c r="I26" s="235"/>
      <c r="J26" s="235"/>
      <c r="K26" s="236"/>
      <c r="L26" s="236"/>
      <c r="M26" s="235"/>
      <c r="N26" s="235"/>
      <c r="O26" s="236"/>
      <c r="P26" s="236"/>
      <c r="Q26" s="237"/>
      <c r="R26" s="235"/>
      <c r="S26" s="65"/>
      <c r="T26" s="65"/>
      <c r="U26" s="65"/>
      <c r="V26" s="65"/>
      <c r="W26" s="65"/>
      <c r="X26" s="66"/>
      <c r="Y26" s="66"/>
    </row>
    <row r="27" spans="1:25" x14ac:dyDescent="0.3">
      <c r="A27" s="245" t="str">
        <f ca="1">'Translation Table'!H403</f>
        <v>Non-Methane VOC</v>
      </c>
      <c r="B27" s="245" t="str">
        <f ca="1">'Translation Table'!H407</f>
        <v>NMVOC</v>
      </c>
      <c r="C27" s="239">
        <v>35</v>
      </c>
      <c r="D27" s="235"/>
      <c r="E27" s="235"/>
      <c r="F27" s="235"/>
      <c r="G27" s="235"/>
      <c r="H27" s="235"/>
      <c r="I27" s="235"/>
      <c r="J27" s="235"/>
      <c r="K27" s="236"/>
      <c r="L27" s="236"/>
      <c r="M27" s="235"/>
      <c r="N27" s="235"/>
      <c r="O27" s="236"/>
      <c r="P27" s="236"/>
      <c r="Q27" s="237"/>
      <c r="R27" s="235"/>
      <c r="S27" s="65"/>
      <c r="T27" s="65"/>
      <c r="U27" s="65"/>
      <c r="V27" s="65"/>
      <c r="W27" s="65"/>
      <c r="X27" s="66"/>
      <c r="Y27" s="66"/>
    </row>
    <row r="28" spans="1:25" x14ac:dyDescent="0.3">
      <c r="C28" s="63"/>
      <c r="D28" s="63"/>
      <c r="E28" s="63"/>
      <c r="F28" s="63"/>
      <c r="G28" s="63"/>
      <c r="H28" s="63"/>
      <c r="I28" s="63"/>
      <c r="J28" s="63"/>
      <c r="K28" s="64"/>
      <c r="L28" s="64"/>
      <c r="M28" s="63"/>
      <c r="N28" s="63"/>
      <c r="O28" s="64"/>
      <c r="P28" s="64"/>
      <c r="Q28" s="64"/>
      <c r="R28" s="63"/>
      <c r="S28" s="65"/>
      <c r="T28" s="65"/>
      <c r="U28" s="65"/>
      <c r="V28" s="65"/>
      <c r="W28" s="65"/>
      <c r="X28" s="66"/>
      <c r="Y28" s="66"/>
    </row>
    <row r="29" spans="1:25" ht="22.5" x14ac:dyDescent="0.45">
      <c r="A29" s="429" t="str">
        <f ca="1">'Translation Table'!H408</f>
        <v>Miscellaneous Constants</v>
      </c>
      <c r="B29" s="429"/>
      <c r="C29" s="429"/>
      <c r="D29" s="63"/>
      <c r="E29" s="63"/>
      <c r="F29" s="429" t="str">
        <f ca="1">'Translation Table'!H417</f>
        <v>Atomic Data</v>
      </c>
      <c r="G29" s="429"/>
      <c r="H29" s="429"/>
      <c r="I29" s="63"/>
      <c r="J29" s="63"/>
      <c r="K29" s="64"/>
      <c r="L29" s="64"/>
      <c r="M29" s="63"/>
      <c r="N29" s="63"/>
      <c r="O29" s="64"/>
      <c r="P29" s="64"/>
      <c r="Q29" s="64"/>
      <c r="R29" s="63"/>
      <c r="S29" s="65"/>
      <c r="T29" s="65"/>
      <c r="U29" s="65"/>
      <c r="V29" s="65"/>
      <c r="W29" s="65"/>
      <c r="X29" s="66"/>
      <c r="Y29" s="66"/>
    </row>
    <row r="30" spans="1:25" x14ac:dyDescent="0.3">
      <c r="F30" s="246" t="str">
        <f ca="1">'Translation Table'!H418</f>
        <v>Name</v>
      </c>
      <c r="G30" s="246" t="str">
        <f ca="1">'Translation Table'!H349</f>
        <v>Formula</v>
      </c>
      <c r="H30" s="246" t="str">
        <f ca="1">'Translation Table'!H419</f>
        <v>Atomic Mass</v>
      </c>
    </row>
    <row r="31" spans="1:25" x14ac:dyDescent="0.3">
      <c r="A31" s="59" t="str">
        <f ca="1">'Translation Table'!H409</f>
        <v>Standard Temperature</v>
      </c>
      <c r="B31" s="110">
        <v>15</v>
      </c>
      <c r="C31" s="58" t="str">
        <f ca="1">'Translation Table'!H410</f>
        <v>°C</v>
      </c>
      <c r="F31" s="42" t="str">
        <f ca="1">'Translation Table'!H420</f>
        <v>Carbon</v>
      </c>
      <c r="G31" s="42" t="str">
        <f ca="1">'Translation Table'!H425</f>
        <v>C</v>
      </c>
      <c r="H31" s="42">
        <v>12.010999999999999</v>
      </c>
    </row>
    <row r="32" spans="1:25" x14ac:dyDescent="0.3">
      <c r="A32" s="59" t="str">
        <f ca="1">'Translation Table'!H411</f>
        <v>Standard Pressure</v>
      </c>
      <c r="B32" s="58">
        <v>101.325</v>
      </c>
      <c r="C32" s="58" t="str">
        <f ca="1">'Translation Table'!H412</f>
        <v>kPa</v>
      </c>
      <c r="F32" s="42" t="str">
        <f ca="1">'Translation Table'!H421</f>
        <v>Hydrogen</v>
      </c>
      <c r="G32" s="42" t="str">
        <f ca="1">'Translation Table'!H426</f>
        <v>H</v>
      </c>
      <c r="H32" s="42">
        <v>1.0078400000000001</v>
      </c>
    </row>
    <row r="33" spans="1:8" x14ac:dyDescent="0.3">
      <c r="A33" s="59" t="str">
        <f ca="1">'Translation Table'!H413</f>
        <v>Standard Volume</v>
      </c>
      <c r="B33" s="72">
        <f>$B$34*(B31+273.15)/$B$32</f>
        <v>23.644822021909693</v>
      </c>
      <c r="C33" s="58" t="str">
        <f ca="1">'Translation Table'!H414</f>
        <v>m3/kmol</v>
      </c>
      <c r="F33" s="42" t="str">
        <f ca="1">'Translation Table'!H422</f>
        <v>Oxygen</v>
      </c>
      <c r="G33" s="42" t="str">
        <f ca="1">'Translation Table'!H427</f>
        <v>O</v>
      </c>
      <c r="H33" s="42">
        <v>15.999000000000001</v>
      </c>
    </row>
    <row r="34" spans="1:8" x14ac:dyDescent="0.3">
      <c r="A34" s="59" t="str">
        <f ca="1">'Translation Table'!H415</f>
        <v>Gas Constant</v>
      </c>
      <c r="B34" s="58">
        <v>8.3144597999999998</v>
      </c>
      <c r="C34" s="58" t="str">
        <f ca="1">'Translation Table'!H416</f>
        <v>m3·kPa·kmole-1·°K-1</v>
      </c>
      <c r="F34" s="42" t="str">
        <f ca="1">'Translation Table'!H423</f>
        <v>Nitrogen</v>
      </c>
      <c r="G34" s="42" t="str">
        <f ca="1">'Translation Table'!H428</f>
        <v>N</v>
      </c>
      <c r="H34" s="42">
        <v>140067</v>
      </c>
    </row>
    <row r="35" spans="1:8" x14ac:dyDescent="0.3">
      <c r="F35" s="42" t="str">
        <f ca="1">'Translation Table'!H424</f>
        <v>Sulphur</v>
      </c>
      <c r="G35" s="42" t="str">
        <f ca="1">'Translation Table'!H429</f>
        <v>S</v>
      </c>
      <c r="H35" s="42">
        <v>32.064999999999998</v>
      </c>
    </row>
  </sheetData>
  <sheetProtection algorithmName="SHA-512" hashValue="LpH+noUIR0Tk2Qi0GGqwfKRZB+oVzZIQ3pa40UFZAYqZxbHBacmhf7BaiRt58yatq63vxju1hhvLVKKBl5R4Sw==" saltValue="CUrya1rQn4PCKrKKU4wnnw==" spinCount="100000" sheet="1" objects="1" scenarios="1"/>
  <mergeCells count="27">
    <mergeCell ref="H2:J2"/>
    <mergeCell ref="F2:G2"/>
    <mergeCell ref="X2:Y2"/>
    <mergeCell ref="X3:X4"/>
    <mergeCell ref="Y3:Y4"/>
    <mergeCell ref="S3:S4"/>
    <mergeCell ref="T3:T4"/>
    <mergeCell ref="U3:U4"/>
    <mergeCell ref="V3:V4"/>
    <mergeCell ref="W3:W4"/>
    <mergeCell ref="S2:W2"/>
    <mergeCell ref="F29:H29"/>
    <mergeCell ref="A1:C1"/>
    <mergeCell ref="A29:C29"/>
    <mergeCell ref="O2:R2"/>
    <mergeCell ref="A2:B2"/>
    <mergeCell ref="A3:A4"/>
    <mergeCell ref="B3:B4"/>
    <mergeCell ref="C3:C4"/>
    <mergeCell ref="O3:P3"/>
    <mergeCell ref="Q3:R3"/>
    <mergeCell ref="D2:E2"/>
    <mergeCell ref="K2:N2"/>
    <mergeCell ref="K3:L3"/>
    <mergeCell ref="M3:N3"/>
    <mergeCell ref="F3:G3"/>
    <mergeCell ref="H3:I3"/>
  </mergeCells>
  <pageMargins left="0.7" right="0.7" top="0.75" bottom="0.75" header="0.3" footer="0.3"/>
  <pageSetup orientation="portrait"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A9B5"/>
  </sheetPr>
  <dimension ref="B1:P157"/>
  <sheetViews>
    <sheetView showGridLines="0" topLeftCell="B1" workbookViewId="0">
      <selection activeCell="B82" sqref="B82"/>
    </sheetView>
  </sheetViews>
  <sheetFormatPr defaultColWidth="9.1796875" defaultRowHeight="14" x14ac:dyDescent="0.3"/>
  <cols>
    <col min="1" max="1" width="0" style="41" hidden="1" customWidth="1"/>
    <col min="2" max="2" width="40.81640625" style="41" customWidth="1"/>
    <col min="3" max="3" width="34.81640625" style="41" customWidth="1"/>
    <col min="4" max="4" width="33.1796875" style="41" customWidth="1"/>
    <col min="5" max="5" width="58.54296875" style="41" customWidth="1"/>
    <col min="6" max="6" width="42" style="41" customWidth="1"/>
    <col min="7" max="7" width="22.54296875" style="41" customWidth="1"/>
    <col min="8" max="8" width="14.1796875" style="41" customWidth="1"/>
    <col min="9" max="9" width="13.1796875" style="41" customWidth="1"/>
    <col min="10" max="16384" width="9.1796875" style="41"/>
  </cols>
  <sheetData>
    <row r="1" spans="2:5" ht="22.5" x14ac:dyDescent="0.45">
      <c r="B1" s="446" t="str">
        <f ca="1">'Translation Table'!H430</f>
        <v>Conversion Factor Look-up Table</v>
      </c>
      <c r="C1" s="446"/>
    </row>
    <row r="3" spans="2:5" ht="15.5" x14ac:dyDescent="0.3">
      <c r="B3" s="442" t="str">
        <f ca="1">'Translation Table'!H432</f>
        <v>From</v>
      </c>
      <c r="C3" s="442" t="str">
        <f ca="1">'Translation Table'!H433</f>
        <v>To</v>
      </c>
      <c r="D3" s="444" t="str">
        <f ca="1">'Translation Table'!H434</f>
        <v>Conversion Factor</v>
      </c>
      <c r="E3" s="445"/>
    </row>
    <row r="4" spans="2:5" ht="15.5" x14ac:dyDescent="0.3">
      <c r="B4" s="443"/>
      <c r="C4" s="443"/>
      <c r="D4" s="89" t="str">
        <f ca="1">'Translation Table'!H435</f>
        <v>Value</v>
      </c>
      <c r="E4" s="89" t="str">
        <f ca="1">'Translation Table'!H436</f>
        <v>Descriptor</v>
      </c>
    </row>
    <row r="5" spans="2:5" x14ac:dyDescent="0.3">
      <c r="B5" s="91" t="str">
        <f ca="1">'Translation Table'!H437</f>
        <v>bbl</v>
      </c>
      <c r="C5" s="91" t="str">
        <f ca="1">'Translation Table'!H501</f>
        <v>m3</v>
      </c>
      <c r="D5" s="86">
        <v>0.1589873</v>
      </c>
      <c r="E5" s="91" t="str">
        <f ca="1">'Translation Table'!H530</f>
        <v>"bbl" to "m3"</v>
      </c>
    </row>
    <row r="6" spans="2:5" x14ac:dyDescent="0.3">
      <c r="B6" s="54" t="s">
        <v>829</v>
      </c>
      <c r="C6" s="54" t="s">
        <v>830</v>
      </c>
      <c r="D6" s="43">
        <f>1/1000/1000/0.9071847</f>
        <v>1.1023113595279991E-6</v>
      </c>
      <c r="E6" s="54" t="s">
        <v>831</v>
      </c>
    </row>
    <row r="7" spans="2:5" x14ac:dyDescent="0.3">
      <c r="B7" s="91" t="s">
        <v>833</v>
      </c>
      <c r="C7" s="91" t="s">
        <v>841</v>
      </c>
      <c r="D7" s="86">
        <f>1/1000/0.02831685</f>
        <v>3.5314662471284765E-2</v>
      </c>
      <c r="E7" s="91" t="s">
        <v>842</v>
      </c>
    </row>
    <row r="8" spans="2:5" x14ac:dyDescent="0.3">
      <c r="B8" s="54" t="str">
        <f ca="1">'Translation Table'!H438</f>
        <v>lb CH4</v>
      </c>
      <c r="C8" s="54" t="str">
        <f ca="1">'Translation Table'!H502</f>
        <v>m3 CH4</v>
      </c>
      <c r="D8" s="56">
        <f>1*0.453592/Constants!$E$5</f>
        <v>0.66852222842124676</v>
      </c>
      <c r="E8" s="54" t="str">
        <f ca="1">'Translation Table'!H531</f>
        <v>"lb CH4" to "m3 CH4"</v>
      </c>
    </row>
    <row r="9" spans="2:5" x14ac:dyDescent="0.3">
      <c r="B9" s="91" t="str">
        <f ca="1">'Translation Table'!H439</f>
        <v>lb</v>
      </c>
      <c r="C9" s="91" t="str">
        <f ca="1">'Translation Table'!H503</f>
        <v>kg</v>
      </c>
      <c r="D9" s="86">
        <v>0.45359240000000001</v>
      </c>
      <c r="E9" s="91" t="str">
        <f ca="1">'Translation Table'!H532</f>
        <v>"lb" to "kg"</v>
      </c>
    </row>
    <row r="10" spans="2:5" x14ac:dyDescent="0.3">
      <c r="B10" s="73" t="s">
        <v>823</v>
      </c>
      <c r="C10" s="73" t="s">
        <v>827</v>
      </c>
      <c r="D10" s="56">
        <f>453.5924/1.055056/1000/1000</f>
        <v>4.2992258230842723E-4</v>
      </c>
      <c r="E10" s="54" t="s">
        <v>828</v>
      </c>
    </row>
    <row r="11" spans="2:5" x14ac:dyDescent="0.3">
      <c r="B11" s="91" t="s">
        <v>826</v>
      </c>
      <c r="C11" s="91" t="s">
        <v>864</v>
      </c>
      <c r="D11" s="86">
        <f>0.4535924/1000/28.31685</f>
        <v>1.6018462505539988E-5</v>
      </c>
      <c r="E11" s="91" t="s">
        <v>865</v>
      </c>
    </row>
    <row r="12" spans="2:5" x14ac:dyDescent="0.3">
      <c r="B12" s="54" t="str">
        <f ca="1">'Translation Table'!H440</f>
        <v>m3 CH4</v>
      </c>
      <c r="C12" s="54" t="str">
        <f ca="1">'Translation Table'!H504</f>
        <v>tonnes CH4</v>
      </c>
      <c r="D12" s="56">
        <f>Constants!E5/1000</f>
        <v>6.7849950340646598E-4</v>
      </c>
      <c r="E12" s="54" t="str">
        <f ca="1">'Translation Table'!H533</f>
        <v>"m3 CH4" to "tonnes CH4"</v>
      </c>
    </row>
    <row r="13" spans="2:5" x14ac:dyDescent="0.3">
      <c r="B13" s="91" t="str">
        <f ca="1">'Translation Table'!H441</f>
        <v>m3 CH4/d</v>
      </c>
      <c r="C13" s="91" t="str">
        <f ca="1">'Translation Table'!H505</f>
        <v>tonnes CH4/y</v>
      </c>
      <c r="D13" s="86">
        <f>1*Constants!E5*365/1000</f>
        <v>0.24765231874336011</v>
      </c>
      <c r="E13" s="91" t="str">
        <f ca="1">'Translation Table'!H534</f>
        <v>"m3 CH4/d" to "tonnes CH4/y"</v>
      </c>
    </row>
    <row r="14" spans="2:5" ht="17.25" customHeight="1" x14ac:dyDescent="0.3">
      <c r="B14" s="54" t="str">
        <f ca="1">'Translation Table'!H442</f>
        <v>m3/hr/device</v>
      </c>
      <c r="C14" s="54" t="str">
        <f ca="1">'Translation Table'!H506</f>
        <v>m3/d/device</v>
      </c>
      <c r="D14" s="56">
        <v>24</v>
      </c>
      <c r="E14" s="54" t="str">
        <f ca="1">'Translation Table'!H535</f>
        <v>"m3/hr/device" to "m3/d/device"</v>
      </c>
    </row>
    <row r="15" spans="2:5" x14ac:dyDescent="0.3">
      <c r="B15" s="91" t="str">
        <f ca="1">'Translation Table'!H443</f>
        <v>mile</v>
      </c>
      <c r="C15" s="91" t="str">
        <f ca="1">'Translation Table'!H507</f>
        <v>km</v>
      </c>
      <c r="D15" s="86">
        <v>1.6093440000000001</v>
      </c>
      <c r="E15" s="91" t="str">
        <f ca="1">'Translation Table'!H536</f>
        <v>"mile" to "km"</v>
      </c>
    </row>
    <row r="16" spans="2:5" x14ac:dyDescent="0.3">
      <c r="B16" s="54" t="str">
        <f ca="1">'Translation Table'!H444</f>
        <v>scf</v>
      </c>
      <c r="C16" s="54" t="str">
        <f ca="1">'Translation Table'!H508</f>
        <v>m3</v>
      </c>
      <c r="D16" s="56">
        <v>2.8316850000000001E-2</v>
      </c>
      <c r="E16" s="54" t="str">
        <f ca="1">'Translation Table'!H537</f>
        <v>"scf" to "m3"</v>
      </c>
    </row>
    <row r="17" spans="2:5" x14ac:dyDescent="0.3">
      <c r="B17" s="91" t="str">
        <f ca="1">'Translation Table'!H445</f>
        <v>scf/106 scf gas processed</v>
      </c>
      <c r="C17" s="91" t="str">
        <f ca="1">'Translation Table'!H509</f>
        <v>m3/106 m3 gas processed</v>
      </c>
      <c r="D17" s="86">
        <v>1</v>
      </c>
      <c r="E17" s="91" t="str">
        <f ca="1">'Translation Table'!H538</f>
        <v>"scf/106 scf gas processed" to "m3/106 m3 gas processed"</v>
      </c>
    </row>
    <row r="18" spans="2:5" x14ac:dyDescent="0.3">
      <c r="B18" s="54" t="str">
        <f ca="1">'Translation Table'!H446</f>
        <v>scf/activity</v>
      </c>
      <c r="C18" s="54" t="str">
        <f ca="1">'Translation Table'!H510</f>
        <v>m3/activity</v>
      </c>
      <c r="D18" s="56">
        <f>0.02831685</f>
        <v>2.8316850000000001E-2</v>
      </c>
      <c r="E18" s="54" t="str">
        <f ca="1">'Translation Table'!H539</f>
        <v>"scf/activity" to "m3/activity"</v>
      </c>
    </row>
    <row r="19" spans="2:5" x14ac:dyDescent="0.3">
      <c r="B19" s="91" t="str">
        <f ca="1">'Translation Table'!H447</f>
        <v>scf/activity-day</v>
      </c>
      <c r="C19" s="91" t="str">
        <f ca="1">'Translation Table'!H511</f>
        <v>m3/activity-day</v>
      </c>
      <c r="D19" s="86">
        <f>0.02831685</f>
        <v>2.8316850000000001E-2</v>
      </c>
      <c r="E19" s="91" t="str">
        <f ca="1">'Translation Table'!H540</f>
        <v>"scf/activity-day" to "m3/activity-day"</v>
      </c>
    </row>
    <row r="20" spans="2:5" x14ac:dyDescent="0.3">
      <c r="B20" s="54" t="str">
        <f ca="1">'Translation Table'!H448</f>
        <v>scf/d/device</v>
      </c>
      <c r="C20" s="54" t="str">
        <f ca="1">'Translation Table'!H512</f>
        <v>m3/d/device</v>
      </c>
      <c r="D20" s="56">
        <f>0.02831685</f>
        <v>2.8316850000000001E-2</v>
      </c>
      <c r="E20" s="54" t="str">
        <f ca="1">'Translation Table'!H541</f>
        <v>"scf/d/device" to "m3/d/device"</v>
      </c>
    </row>
    <row r="21" spans="2:5" x14ac:dyDescent="0.3">
      <c r="B21" s="91" t="str">
        <f ca="1">'Translation Table'!H449</f>
        <v>scf/y/pipeline-mile</v>
      </c>
      <c r="C21" s="91" t="str">
        <f ca="1">'Translation Table'!H513</f>
        <v>scf/y/pipeline-km</v>
      </c>
      <c r="D21" s="86">
        <f>0.02831685/1.609344</f>
        <v>1.7595274844905751E-2</v>
      </c>
      <c r="E21" s="91" t="str">
        <f ca="1">'Translation Table'!H542</f>
        <v>"scf/y/pipeline-mile" to "m3/y/pipeline-km"</v>
      </c>
    </row>
    <row r="22" spans="2:5" x14ac:dyDescent="0.3">
      <c r="B22" s="54" t="str">
        <f ca="1">'Translation Table'!H450</f>
        <v>scf/y/source</v>
      </c>
      <c r="C22" s="54" t="str">
        <f ca="1">'Translation Table'!H514</f>
        <v>m3/y/source</v>
      </c>
      <c r="D22" s="56">
        <f>0.02831685</f>
        <v>2.8316850000000001E-2</v>
      </c>
      <c r="E22" s="54" t="str">
        <f ca="1">'Translation Table'!H543</f>
        <v>"scf/y/source" to "m3/y/source"</v>
      </c>
    </row>
    <row r="23" spans="2:5" x14ac:dyDescent="0.3">
      <c r="B23" s="91" t="str">
        <f ca="1">'Translation Table'!H451</f>
        <v>ton</v>
      </c>
      <c r="C23" s="91" t="str">
        <f ca="1">'Translation Table'!H515</f>
        <v>tonne</v>
      </c>
      <c r="D23" s="86">
        <f>0.9071847</f>
        <v>0.90718469999999996</v>
      </c>
      <c r="E23" s="91" t="str">
        <f ca="1">'Translation Table'!H544</f>
        <v>"ton" to "tonne"</v>
      </c>
    </row>
    <row r="24" spans="2:5" x14ac:dyDescent="0.3">
      <c r="B24" s="54" t="str">
        <f ca="1">'Translation Table'!H452</f>
        <v>tonnes CH4/1000 bbl of Liquid</v>
      </c>
      <c r="C24" s="54" t="str">
        <f ca="1">'Translation Table'!H520</f>
        <v>m3 CH4/m3 of Liquid</v>
      </c>
      <c r="D24" s="55">
        <f>1000/Constants!$E$5/0.1589873/1000</f>
        <v>9.2701771161165585</v>
      </c>
      <c r="E24" s="54" t="str">
        <f ca="1">'Translation Table'!H545</f>
        <v>"tonnes CH4/1000 bbl of Liquid" to "m3 CH4/m3 of Liquid"</v>
      </c>
    </row>
    <row r="25" spans="2:5" x14ac:dyDescent="0.3">
      <c r="B25" s="91" t="str">
        <f ca="1">'Translation Table'!H453</f>
        <v>tonnes CH4/bbl of Liquid</v>
      </c>
      <c r="C25" s="91" t="str">
        <f ca="1">'Translation Table'!H521</f>
        <v>m3 CH4/m3 of Liquid</v>
      </c>
      <c r="D25" s="86">
        <f>1000/Constants!$E$5/0.1589873</f>
        <v>9270.177116116558</v>
      </c>
      <c r="E25" s="91" t="str">
        <f ca="1">'Translation Table'!H546</f>
        <v>"tonnes CH4/bbl of Liquid" to "m3 CH4/m3 of Liquid"</v>
      </c>
    </row>
    <row r="26" spans="2:5" x14ac:dyDescent="0.3">
      <c r="B26" s="54" t="str">
        <f ca="1">'Translation Table'!H454</f>
        <v>tonnes CH4/d/source</v>
      </c>
      <c r="C26" s="54" t="str">
        <f ca="1">'Translation Table'!H522</f>
        <v>m3 CH4/d/source</v>
      </c>
      <c r="D26" s="55">
        <f>1000/Constants!$E$5</f>
        <v>1473.840430213158</v>
      </c>
      <c r="E26" s="54" t="str">
        <f ca="1">'Translation Table'!H547</f>
        <v>"tonnes CH4/d/source" to "m3 CH4/d/source"</v>
      </c>
    </row>
    <row r="27" spans="2:5" x14ac:dyDescent="0.3">
      <c r="B27" s="91" t="str">
        <f ca="1">'Translation Table'!H455</f>
        <v>tonnes CH4/m3 of Liquid</v>
      </c>
      <c r="C27" s="91" t="str">
        <f ca="1">'Translation Table'!H523</f>
        <v>m3 CH4/m3 of Liquid</v>
      </c>
      <c r="D27" s="86">
        <f>1000/Constants!$E$5</f>
        <v>1473.840430213158</v>
      </c>
      <c r="E27" s="91" t="str">
        <f ca="1">'Translation Table'!H548</f>
        <v>"tonnes CH4/m3 of Liquid" to "m3 CH4/m3 of Liquid"</v>
      </c>
    </row>
    <row r="28" spans="2:5" x14ac:dyDescent="0.3">
      <c r="B28" s="46" t="s">
        <v>59</v>
      </c>
      <c r="C28" s="46" t="s">
        <v>59</v>
      </c>
      <c r="D28" s="56">
        <v>1</v>
      </c>
      <c r="E28" s="54" t="str">
        <f ca="1">'Translation Table'!H549</f>
        <v>None</v>
      </c>
    </row>
    <row r="29" spans="2:5" x14ac:dyDescent="0.3">
      <c r="B29" s="91" t="s">
        <v>59</v>
      </c>
      <c r="C29" s="91" t="s">
        <v>59</v>
      </c>
      <c r="D29" s="86">
        <v>0</v>
      </c>
      <c r="E29" s="91"/>
    </row>
    <row r="30" spans="2:5" x14ac:dyDescent="0.3">
      <c r="B30" s="73" t="str">
        <f ca="1">'Translation Table'!H456</f>
        <v>Nm3/h</v>
      </c>
      <c r="C30" s="75" t="str">
        <f ca="1">'Translation Table'!H524</f>
        <v>Nm3/h</v>
      </c>
      <c r="D30" s="56">
        <v>1</v>
      </c>
      <c r="E30" s="54"/>
    </row>
    <row r="31" spans="2:5" x14ac:dyDescent="0.3">
      <c r="B31" s="91" t="str">
        <f ca="1">'Translation Table'!H457</f>
        <v>Nm3/d</v>
      </c>
      <c r="C31" s="91" t="str">
        <f ca="1">'Translation Table'!H525</f>
        <v>Nm3/h</v>
      </c>
      <c r="D31" s="86">
        <f>1/24</f>
        <v>4.1666666666666664E-2</v>
      </c>
      <c r="E31" s="91" t="s">
        <v>902</v>
      </c>
    </row>
    <row r="32" spans="2:5" x14ac:dyDescent="0.3">
      <c r="B32" s="73" t="str">
        <f ca="1">'Translation Table'!H458</f>
        <v>Nm3/y</v>
      </c>
      <c r="C32" s="75" t="str">
        <f ca="1">'Translation Table'!H526</f>
        <v>Nm3/h</v>
      </c>
      <c r="D32" s="74">
        <f>1/365/24</f>
        <v>1.1415525114155251E-4</v>
      </c>
      <c r="E32" s="57" t="s">
        <v>903</v>
      </c>
    </row>
    <row r="33" spans="2:5" x14ac:dyDescent="0.3">
      <c r="B33" s="91" t="str">
        <f ca="1">'Translation Table'!H459</f>
        <v>Nm3 CH4/h</v>
      </c>
      <c r="C33" s="91" t="str">
        <f ca="1">'Translation Table'!H527</f>
        <v>Nm3 CH4/h</v>
      </c>
      <c r="D33" s="86">
        <v>1</v>
      </c>
      <c r="E33" s="91" t="s">
        <v>904</v>
      </c>
    </row>
    <row r="34" spans="2:5" x14ac:dyDescent="0.3">
      <c r="B34" s="73" t="str">
        <f ca="1">'Translation Table'!H460</f>
        <v>Nm3 CH4/d</v>
      </c>
      <c r="C34" s="75" t="str">
        <f ca="1">'Translation Table'!H528</f>
        <v>Nm3 CH4/h</v>
      </c>
      <c r="D34" s="74">
        <f>1/24</f>
        <v>4.1666666666666664E-2</v>
      </c>
      <c r="E34" s="57" t="s">
        <v>905</v>
      </c>
    </row>
    <row r="35" spans="2:5" x14ac:dyDescent="0.3">
      <c r="B35" s="91" t="str">
        <f ca="1">'Translation Table'!H461</f>
        <v>Nm3 CH4/y</v>
      </c>
      <c r="C35" s="91" t="str">
        <f ca="1">'Translation Table'!H529</f>
        <v>Nm3 CH4/h</v>
      </c>
      <c r="D35" s="86">
        <f>1/365/24</f>
        <v>1.1415525114155251E-4</v>
      </c>
      <c r="E35" s="91" t="s">
        <v>906</v>
      </c>
    </row>
    <row r="36" spans="2:5" x14ac:dyDescent="0.3">
      <c r="B36" s="73" t="str">
        <f ca="1">'Translation Table'!H462</f>
        <v>kg/h</v>
      </c>
      <c r="C36" s="75" t="s">
        <v>882</v>
      </c>
      <c r="D36" s="76">
        <f>1/1000*24*365</f>
        <v>8.76</v>
      </c>
      <c r="E36" s="57" t="s">
        <v>907</v>
      </c>
    </row>
    <row r="37" spans="2:5" x14ac:dyDescent="0.3">
      <c r="B37" s="91" t="str">
        <f ca="1">'Translation Table'!H463</f>
        <v>tonnes/d</v>
      </c>
      <c r="C37" s="91" t="s">
        <v>882</v>
      </c>
      <c r="D37" s="86">
        <v>365</v>
      </c>
      <c r="E37" s="91" t="s">
        <v>908</v>
      </c>
    </row>
    <row r="38" spans="2:5" x14ac:dyDescent="0.3">
      <c r="B38" s="73" t="str">
        <f ca="1">'Translation Table'!H464</f>
        <v>tonnes/mo</v>
      </c>
      <c r="C38" s="75" t="s">
        <v>882</v>
      </c>
      <c r="D38" s="74">
        <v>12</v>
      </c>
      <c r="E38" s="57" t="s">
        <v>909</v>
      </c>
    </row>
    <row r="39" spans="2:5" x14ac:dyDescent="0.3">
      <c r="B39" s="91" t="str">
        <f ca="1">'Translation Table'!H465</f>
        <v>tonnes/y</v>
      </c>
      <c r="C39" s="91" t="s">
        <v>882</v>
      </c>
      <c r="D39" s="86">
        <v>1</v>
      </c>
      <c r="E39" s="91" t="s">
        <v>910</v>
      </c>
    </row>
    <row r="40" spans="2:5" x14ac:dyDescent="0.3">
      <c r="B40" s="73" t="str">
        <f ca="1">'Translation Table'!H466</f>
        <v>GJ/h</v>
      </c>
      <c r="C40" s="75" t="s">
        <v>834</v>
      </c>
      <c r="D40" s="74">
        <f>24*365</f>
        <v>8760</v>
      </c>
      <c r="E40" s="57" t="s">
        <v>911</v>
      </c>
    </row>
    <row r="41" spans="2:5" x14ac:dyDescent="0.3">
      <c r="B41" s="91" t="str">
        <f ca="1">'Translation Table'!H467</f>
        <v>GJ/d</v>
      </c>
      <c r="C41" s="91" t="s">
        <v>834</v>
      </c>
      <c r="D41" s="86">
        <f>365</f>
        <v>365</v>
      </c>
      <c r="E41" s="91" t="s">
        <v>912</v>
      </c>
    </row>
    <row r="42" spans="2:5" x14ac:dyDescent="0.3">
      <c r="B42" s="73" t="str">
        <f ca="1">'Translation Table'!H468</f>
        <v>GJ/mo</v>
      </c>
      <c r="C42" s="75" t="s">
        <v>834</v>
      </c>
      <c r="D42" s="74">
        <v>12</v>
      </c>
      <c r="E42" s="57" t="s">
        <v>913</v>
      </c>
    </row>
    <row r="43" spans="2:5" x14ac:dyDescent="0.3">
      <c r="B43" s="91" t="str">
        <f ca="1">'Translation Table'!H469</f>
        <v>GJ/y</v>
      </c>
      <c r="C43" s="91" t="s">
        <v>834</v>
      </c>
      <c r="D43" s="86">
        <v>1</v>
      </c>
      <c r="E43" s="91" t="s">
        <v>914</v>
      </c>
    </row>
    <row r="44" spans="2:5" x14ac:dyDescent="0.3">
      <c r="B44" s="73" t="str">
        <f ca="1">'Translation Table'!H470</f>
        <v>mmbtu/h</v>
      </c>
      <c r="C44" s="75" t="s">
        <v>834</v>
      </c>
      <c r="D44" s="74">
        <f>1.055056*24*365</f>
        <v>9242.2905599999995</v>
      </c>
      <c r="E44" s="57" t="s">
        <v>915</v>
      </c>
    </row>
    <row r="45" spans="2:5" x14ac:dyDescent="0.3">
      <c r="B45" s="91" t="str">
        <f ca="1">'Translation Table'!H471</f>
        <v>mmbtu/d</v>
      </c>
      <c r="C45" s="91" t="s">
        <v>834</v>
      </c>
      <c r="D45" s="86">
        <f>1.055056*365</f>
        <v>385.09544</v>
      </c>
      <c r="E45" s="91" t="s">
        <v>916</v>
      </c>
    </row>
    <row r="46" spans="2:5" x14ac:dyDescent="0.3">
      <c r="B46" s="73" t="str">
        <f ca="1">'Translation Table'!H472</f>
        <v>mmbtu/mo</v>
      </c>
      <c r="C46" s="75" t="s">
        <v>834</v>
      </c>
      <c r="D46" s="74">
        <f>1.055056*12</f>
        <v>12.660672</v>
      </c>
      <c r="E46" s="57" t="s">
        <v>917</v>
      </c>
    </row>
    <row r="47" spans="2:5" x14ac:dyDescent="0.3">
      <c r="B47" s="91" t="str">
        <f ca="1">'Translation Table'!H473</f>
        <v>mmbtu/y</v>
      </c>
      <c r="C47" s="91" t="s">
        <v>834</v>
      </c>
      <c r="D47" s="86">
        <v>1.055056</v>
      </c>
      <c r="E47" s="91" t="s">
        <v>918</v>
      </c>
    </row>
    <row r="48" spans="2:5" x14ac:dyDescent="0.3">
      <c r="B48" s="73" t="str">
        <f ca="1">'Translation Table'!H474</f>
        <v>m^3/h</v>
      </c>
      <c r="C48" s="75" t="s">
        <v>870</v>
      </c>
      <c r="D48" s="74">
        <v>1</v>
      </c>
      <c r="E48" s="57" t="s">
        <v>919</v>
      </c>
    </row>
    <row r="49" spans="2:5" x14ac:dyDescent="0.3">
      <c r="B49" s="91" t="str">
        <f ca="1">'Translation Table'!H475</f>
        <v>m^3/d</v>
      </c>
      <c r="C49" s="91" t="s">
        <v>870</v>
      </c>
      <c r="D49" s="86">
        <f>1/24</f>
        <v>4.1666666666666664E-2</v>
      </c>
      <c r="E49" s="91" t="s">
        <v>920</v>
      </c>
    </row>
    <row r="50" spans="2:5" x14ac:dyDescent="0.3">
      <c r="B50" s="73" t="str">
        <f ca="1">'Translation Table'!H476</f>
        <v>m^3/mo</v>
      </c>
      <c r="C50" s="75" t="s">
        <v>870</v>
      </c>
      <c r="D50" s="74">
        <f>1*12/365/24</f>
        <v>1.3698630136986299E-3</v>
      </c>
      <c r="E50" s="57" t="s">
        <v>921</v>
      </c>
    </row>
    <row r="51" spans="2:5" x14ac:dyDescent="0.3">
      <c r="B51" s="91" t="str">
        <f ca="1">'Translation Table'!H477</f>
        <v>m^3/y</v>
      </c>
      <c r="C51" s="91" t="s">
        <v>870</v>
      </c>
      <c r="D51" s="86">
        <f>1/365/24</f>
        <v>1.1415525114155251E-4</v>
      </c>
      <c r="E51" s="91" t="s">
        <v>922</v>
      </c>
    </row>
    <row r="52" spans="2:5" x14ac:dyDescent="0.3">
      <c r="B52" s="73" t="str">
        <f ca="1">'Translation Table'!H478</f>
        <v>usg/h</v>
      </c>
      <c r="C52" s="75" t="s">
        <v>870</v>
      </c>
      <c r="D52" s="74">
        <v>3.7854120000000002E-3</v>
      </c>
      <c r="E52" s="57" t="s">
        <v>923</v>
      </c>
    </row>
    <row r="53" spans="2:5" x14ac:dyDescent="0.3">
      <c r="B53" s="91" t="str">
        <f ca="1">'Translation Table'!H479</f>
        <v>bbl/d</v>
      </c>
      <c r="C53" s="91" t="s">
        <v>870</v>
      </c>
      <c r="D53" s="86">
        <f>0.1589873/24</f>
        <v>6.6244708333333333E-3</v>
      </c>
      <c r="E53" s="91" t="s">
        <v>924</v>
      </c>
    </row>
    <row r="54" spans="2:5" x14ac:dyDescent="0.3">
      <c r="B54" s="73" t="str">
        <f ca="1">'Translation Table'!H480</f>
        <v>bbl/mo</v>
      </c>
      <c r="C54" s="75" t="s">
        <v>870</v>
      </c>
      <c r="D54" s="74">
        <f>0.1589873*12/365/24</f>
        <v>2.1779082191780824E-4</v>
      </c>
      <c r="E54" s="57" t="s">
        <v>925</v>
      </c>
    </row>
    <row r="55" spans="2:5" x14ac:dyDescent="0.3">
      <c r="B55" s="91" t="str">
        <f ca="1">'Translation Table'!H481</f>
        <v>bbl/y</v>
      </c>
      <c r="C55" s="91" t="s">
        <v>870</v>
      </c>
      <c r="D55" s="86">
        <f>0.1589873/365/24</f>
        <v>1.8149235159817351E-5</v>
      </c>
      <c r="E55" s="91" t="s">
        <v>926</v>
      </c>
    </row>
    <row r="56" spans="2:5" x14ac:dyDescent="0.3">
      <c r="B56" s="73" t="str">
        <f ca="1">'Translation Table'!H482</f>
        <v>sm^3  CH4/h</v>
      </c>
      <c r="C56" s="73" t="s">
        <v>296</v>
      </c>
      <c r="D56" s="77">
        <v>1</v>
      </c>
      <c r="E56" s="57" t="s">
        <v>946</v>
      </c>
    </row>
    <row r="57" spans="2:5" x14ac:dyDescent="0.3">
      <c r="B57" s="91" t="str">
        <f ca="1">'Translation Table'!H483</f>
        <v>sm^3  CH4/d</v>
      </c>
      <c r="C57" s="91" t="s">
        <v>296</v>
      </c>
      <c r="D57" s="86">
        <f>1/24</f>
        <v>4.1666666666666664E-2</v>
      </c>
      <c r="E57" s="91" t="s">
        <v>951</v>
      </c>
    </row>
    <row r="58" spans="2:5" x14ac:dyDescent="0.3">
      <c r="B58" s="73" t="str">
        <f ca="1">'Translation Table'!H484</f>
        <v>sm^3  CH4/mo</v>
      </c>
      <c r="C58" s="73" t="s">
        <v>296</v>
      </c>
      <c r="D58" s="74">
        <f>1*12/365/24</f>
        <v>1.3698630136986299E-3</v>
      </c>
      <c r="E58" s="57" t="s">
        <v>952</v>
      </c>
    </row>
    <row r="59" spans="2:5" x14ac:dyDescent="0.3">
      <c r="B59" s="91" t="str">
        <f ca="1">'Translation Table'!H485</f>
        <v>sm^3  CH4/y</v>
      </c>
      <c r="C59" s="91" t="s">
        <v>296</v>
      </c>
      <c r="D59" s="86">
        <f>1/365/24</f>
        <v>1.1415525114155251E-4</v>
      </c>
      <c r="E59" s="91" t="s">
        <v>953</v>
      </c>
    </row>
    <row r="60" spans="2:5" x14ac:dyDescent="0.3">
      <c r="B60" s="73" t="str">
        <f ca="1">'Translation Table'!H486</f>
        <v>sm^3/h</v>
      </c>
      <c r="C60" s="73" t="str">
        <f ca="1">'Translation Table'!H519</f>
        <v>Nm3/h</v>
      </c>
      <c r="D60" s="77">
        <v>1</v>
      </c>
      <c r="E60" s="57" t="s">
        <v>927</v>
      </c>
    </row>
    <row r="61" spans="2:5" x14ac:dyDescent="0.3">
      <c r="B61" s="91" t="str">
        <f ca="1">'Translation Table'!H487</f>
        <v>sm^3/d</v>
      </c>
      <c r="C61" s="91" t="str">
        <f ca="1">'Translation Table'!H519</f>
        <v>Nm3/h</v>
      </c>
      <c r="D61" s="86">
        <f>1/24</f>
        <v>4.1666666666666664E-2</v>
      </c>
      <c r="E61" s="91" t="s">
        <v>928</v>
      </c>
    </row>
    <row r="62" spans="2:5" x14ac:dyDescent="0.3">
      <c r="B62" s="73" t="str">
        <f ca="1">'Translation Table'!H488</f>
        <v>sm^3/mo</v>
      </c>
      <c r="C62" s="73" t="str">
        <f ca="1">'Translation Table'!H519</f>
        <v>Nm3/h</v>
      </c>
      <c r="D62" s="74">
        <f>1*12/365/24</f>
        <v>1.3698630136986299E-3</v>
      </c>
      <c r="E62" s="57" t="s">
        <v>929</v>
      </c>
    </row>
    <row r="63" spans="2:5" x14ac:dyDescent="0.3">
      <c r="B63" s="91" t="str">
        <f ca="1">'Translation Table'!H489</f>
        <v>sm^3/y</v>
      </c>
      <c r="C63" s="91" t="str">
        <f ca="1">'Translation Table'!H519</f>
        <v>Nm3/h</v>
      </c>
      <c r="D63" s="86">
        <f>1/365/24</f>
        <v>1.1415525114155251E-4</v>
      </c>
      <c r="E63" s="91" t="s">
        <v>930</v>
      </c>
    </row>
    <row r="64" spans="2:5" x14ac:dyDescent="0.3">
      <c r="B64" s="73" t="str">
        <f ca="1">'Translation Table'!H490</f>
        <v>mmscf  CH4/h</v>
      </c>
      <c r="C64" s="73" t="s">
        <v>296</v>
      </c>
      <c r="D64" s="74">
        <f>0.02831685*1000*1000</f>
        <v>28316.850000000002</v>
      </c>
      <c r="E64" s="57" t="s">
        <v>947</v>
      </c>
    </row>
    <row r="65" spans="2:5" x14ac:dyDescent="0.3">
      <c r="B65" s="91" t="str">
        <f ca="1">'Translation Table'!H491</f>
        <v>mmscf  CH4/d</v>
      </c>
      <c r="C65" s="91" t="s">
        <v>296</v>
      </c>
      <c r="D65" s="86">
        <f>0.02831685*1000*1000/24</f>
        <v>1179.8687500000001</v>
      </c>
      <c r="E65" s="91" t="s">
        <v>948</v>
      </c>
    </row>
    <row r="66" spans="2:5" x14ac:dyDescent="0.3">
      <c r="B66" s="73" t="str">
        <f ca="1">'Translation Table'!H492</f>
        <v>mmscf  CH4/mo</v>
      </c>
      <c r="C66" s="73" t="s">
        <v>296</v>
      </c>
      <c r="D66" s="74">
        <f>0.02831685*1000*1000*12/365/24</f>
        <v>38.790205479452055</v>
      </c>
      <c r="E66" s="57" t="s">
        <v>949</v>
      </c>
    </row>
    <row r="67" spans="2:5" x14ac:dyDescent="0.3">
      <c r="B67" s="91" t="str">
        <f ca="1">'Translation Table'!H493</f>
        <v>mmscf  CH4/y</v>
      </c>
      <c r="C67" s="91" t="s">
        <v>296</v>
      </c>
      <c r="D67" s="86">
        <f>0.02831685/365/24</f>
        <v>3.2325171232876714E-6</v>
      </c>
      <c r="E67" s="91" t="s">
        <v>950</v>
      </c>
    </row>
    <row r="68" spans="2:5" x14ac:dyDescent="0.3">
      <c r="B68" s="73" t="str">
        <f ca="1">'Translation Table'!H494</f>
        <v>mmscf/h</v>
      </c>
      <c r="C68" s="73" t="str">
        <f ca="1">'Translation Table'!H519</f>
        <v>Nm3/h</v>
      </c>
      <c r="D68" s="74">
        <f>0.02831685*1000*1000</f>
        <v>28316.850000000002</v>
      </c>
      <c r="E68" s="57" t="s">
        <v>931</v>
      </c>
    </row>
    <row r="69" spans="2:5" x14ac:dyDescent="0.3">
      <c r="B69" s="91" t="str">
        <f ca="1">'Translation Table'!H495</f>
        <v>mmscf/d</v>
      </c>
      <c r="C69" s="91" t="str">
        <f ca="1">'Translation Table'!H519</f>
        <v>Nm3/h</v>
      </c>
      <c r="D69" s="86">
        <f>0.02831685*1000*1000/24</f>
        <v>1179.8687500000001</v>
      </c>
      <c r="E69" s="91" t="s">
        <v>932</v>
      </c>
    </row>
    <row r="70" spans="2:5" x14ac:dyDescent="0.3">
      <c r="B70" s="73" t="str">
        <f ca="1">'Translation Table'!H496</f>
        <v>mmscf/mo</v>
      </c>
      <c r="C70" s="73" t="str">
        <f ca="1">'Translation Table'!H519</f>
        <v>Nm3/h</v>
      </c>
      <c r="D70" s="74">
        <f>0.02831685*1000*1000*12/365/24</f>
        <v>38.790205479452055</v>
      </c>
      <c r="E70" s="57" t="s">
        <v>933</v>
      </c>
    </row>
    <row r="71" spans="2:5" x14ac:dyDescent="0.3">
      <c r="B71" s="91" t="str">
        <f ca="1">'Translation Table'!H497</f>
        <v>mmscf/y</v>
      </c>
      <c r="C71" s="91" t="str">
        <f ca="1">'Translation Table'!H519</f>
        <v>Nm3/h</v>
      </c>
      <c r="D71" s="86">
        <f>0.02831685/365/24</f>
        <v>3.2325171232876714E-6</v>
      </c>
      <c r="E71" s="91" t="s">
        <v>934</v>
      </c>
    </row>
    <row r="72" spans="2:5" x14ac:dyDescent="0.3">
      <c r="B72" s="73" t="str">
        <f ca="1">'Translation Table'!H498</f>
        <v>E+03 sm^3/d</v>
      </c>
      <c r="C72" s="73" t="str">
        <f ca="1">'Translation Table'!H519</f>
        <v>Nm3/h</v>
      </c>
      <c r="D72" s="74">
        <f>1*1000/24</f>
        <v>41.666666666666664</v>
      </c>
      <c r="E72" s="57" t="s">
        <v>935</v>
      </c>
    </row>
    <row r="73" spans="2:5" x14ac:dyDescent="0.3">
      <c r="B73" s="91" t="str">
        <f ca="1">'Translation Table'!H499</f>
        <v>E+03 sm^3/mo</v>
      </c>
      <c r="C73" s="91" t="str">
        <f ca="1">'Translation Table'!H519</f>
        <v>Nm3/h</v>
      </c>
      <c r="D73" s="86">
        <f>1*1000*12/365/24</f>
        <v>1.3698630136986303</v>
      </c>
      <c r="E73" s="91" t="s">
        <v>936</v>
      </c>
    </row>
    <row r="74" spans="2:5" x14ac:dyDescent="0.3">
      <c r="B74" s="73" t="str">
        <f ca="1">'Translation Table'!H500</f>
        <v>E+03 sm^3/y</v>
      </c>
      <c r="C74" s="73" t="str">
        <f ca="1">'Translation Table'!H519</f>
        <v>Nm3/h</v>
      </c>
      <c r="D74" s="74">
        <f>1*1000/365/24</f>
        <v>0.11415525114155251</v>
      </c>
      <c r="E74" s="57" t="s">
        <v>937</v>
      </c>
    </row>
    <row r="75" spans="2:5" x14ac:dyDescent="0.3">
      <c r="B75" s="124" t="s">
        <v>891</v>
      </c>
      <c r="C75" s="124" t="s">
        <v>1147</v>
      </c>
      <c r="D75" s="86">
        <f>1/1000</f>
        <v>1E-3</v>
      </c>
      <c r="E75" s="124" t="s">
        <v>1148</v>
      </c>
    </row>
    <row r="76" spans="2:5" x14ac:dyDescent="0.3">
      <c r="B76" s="54" t="s">
        <v>873</v>
      </c>
      <c r="C76" s="125" t="s">
        <v>1147</v>
      </c>
      <c r="D76" s="127">
        <f>0.0000181492351598174*24*365/1000</f>
        <v>1.589873000000004E-4</v>
      </c>
      <c r="E76" s="125" t="s">
        <v>1149</v>
      </c>
    </row>
    <row r="77" spans="2:5" x14ac:dyDescent="0.3">
      <c r="B77" s="124" t="s">
        <v>1143</v>
      </c>
      <c r="C77" s="124" t="s">
        <v>1147</v>
      </c>
      <c r="D77" s="86">
        <v>1</v>
      </c>
      <c r="E77" s="124" t="s">
        <v>1150</v>
      </c>
    </row>
    <row r="78" spans="2:5" x14ac:dyDescent="0.3">
      <c r="B78" s="126" t="s">
        <v>1144</v>
      </c>
      <c r="C78" s="125" t="s">
        <v>1147</v>
      </c>
      <c r="D78" s="74">
        <f>0.0000181492351598174*24*365</f>
        <v>0.15898730000000041</v>
      </c>
      <c r="E78" s="57" t="s">
        <v>1151</v>
      </c>
    </row>
    <row r="79" spans="2:5" x14ac:dyDescent="0.3">
      <c r="B79" s="124" t="s">
        <v>891</v>
      </c>
      <c r="C79" s="124" t="s">
        <v>1147</v>
      </c>
      <c r="D79" s="86">
        <f>1/1000</f>
        <v>1E-3</v>
      </c>
      <c r="E79" s="124" t="s">
        <v>1148</v>
      </c>
    </row>
    <row r="80" spans="2:5" x14ac:dyDescent="0.3">
      <c r="B80" s="125" t="s">
        <v>1143</v>
      </c>
      <c r="C80" s="125" t="s">
        <v>1147</v>
      </c>
      <c r="D80" s="43">
        <v>1</v>
      </c>
      <c r="E80" s="125" t="s">
        <v>1150</v>
      </c>
    </row>
    <row r="81" spans="2:5" x14ac:dyDescent="0.3">
      <c r="B81" s="124" t="s">
        <v>1145</v>
      </c>
      <c r="C81" s="124" t="s">
        <v>1147</v>
      </c>
      <c r="D81" s="86">
        <v>1000</v>
      </c>
      <c r="E81" s="124" t="s">
        <v>1152</v>
      </c>
    </row>
    <row r="82" spans="2:5" x14ac:dyDescent="0.3">
      <c r="B82" s="78" t="str">
        <f ca="1">'Translation Table'!H431</f>
        <v>Important: Data in the above table must be sorted alphabetically based on Column E.</v>
      </c>
    </row>
    <row r="83" spans="2:5" ht="22.5" x14ac:dyDescent="0.45">
      <c r="B83" s="446" t="str">
        <f ca="1">'Translation Table'!H550</f>
        <v>Leak Control Factor Look-up Table</v>
      </c>
      <c r="C83" s="446"/>
    </row>
    <row r="85" spans="2:5" ht="15.5" x14ac:dyDescent="0.35">
      <c r="B85" s="88" t="str">
        <f ca="1">'Translation Table'!H551</f>
        <v>Equipment Type</v>
      </c>
      <c r="C85" s="88" t="str">
        <f ca="1">'Translation Table'!H552</f>
        <v>Modification</v>
      </c>
      <c r="D85" s="87" t="str">
        <f ca="1">'Translation Table'!H553</f>
        <v>Control Efficiency</v>
      </c>
    </row>
    <row r="86" spans="2:5" ht="15.5" x14ac:dyDescent="0.35">
      <c r="B86" s="88"/>
      <c r="C86" s="88"/>
      <c r="D86" s="87" t="s">
        <v>62</v>
      </c>
    </row>
    <row r="87" spans="2:5" x14ac:dyDescent="0.3">
      <c r="B87" s="86" t="str">
        <f ca="1">'Translation Table'!H554</f>
        <v>Compressor Crankcase Vent</v>
      </c>
      <c r="C87" s="100" t="str">
        <f ca="1">'Translation Table'!H578</f>
        <v>Closed -vent System</v>
      </c>
      <c r="D87" s="86">
        <v>90</v>
      </c>
      <c r="E87" s="47"/>
    </row>
    <row r="88" spans="2:5" x14ac:dyDescent="0.3">
      <c r="B88" s="43" t="str">
        <f ca="1">'Translation Table'!H555</f>
        <v>Compressor Crankcase Vent</v>
      </c>
      <c r="C88" s="79" t="str">
        <f ca="1">'Translation Table'!H579</f>
        <v>None</v>
      </c>
      <c r="D88" s="43">
        <v>0</v>
      </c>
      <c r="E88" s="47"/>
    </row>
    <row r="89" spans="2:5" x14ac:dyDescent="0.3">
      <c r="B89" s="86" t="str">
        <f ca="1">'Translation Table'!H556</f>
        <v>Compressor Seals</v>
      </c>
      <c r="C89" s="100" t="str">
        <f ca="1">'Translation Table'!H580</f>
        <v>Closed -vent System</v>
      </c>
      <c r="D89" s="86">
        <v>90</v>
      </c>
      <c r="E89" s="47"/>
    </row>
    <row r="90" spans="2:5" ht="28" x14ac:dyDescent="0.3">
      <c r="B90" s="43" t="str">
        <f ca="1">'Translation Table'!H557</f>
        <v>Compressor Seals</v>
      </c>
      <c r="C90" s="79" t="str">
        <f ca="1">'Translation Table'!H581</f>
        <v>Dual Mechanical Seals With Barrier Fluid System</v>
      </c>
      <c r="D90" s="43">
        <v>100</v>
      </c>
      <c r="E90" s="47"/>
    </row>
    <row r="91" spans="2:5" x14ac:dyDescent="0.3">
      <c r="B91" s="86" t="str">
        <f ca="1">'Translation Table'!H558</f>
        <v>Compressor Seals</v>
      </c>
      <c r="C91" s="100" t="str">
        <f ca="1">'Translation Table'!H582</f>
        <v>None</v>
      </c>
      <c r="D91" s="86">
        <v>0</v>
      </c>
      <c r="E91" s="47"/>
    </row>
    <row r="92" spans="2:5" x14ac:dyDescent="0.3">
      <c r="B92" s="43" t="str">
        <f ca="1">'Translation Table'!H559</f>
        <v>Connectors</v>
      </c>
      <c r="C92" s="79" t="str">
        <f ca="1">'Translation Table'!H583</f>
        <v>None</v>
      </c>
      <c r="D92" s="43">
        <v>0</v>
      </c>
      <c r="E92" s="47"/>
    </row>
    <row r="93" spans="2:5" x14ac:dyDescent="0.3">
      <c r="B93" s="86" t="str">
        <f ca="1">'Translation Table'!H560</f>
        <v>Connectors</v>
      </c>
      <c r="C93" s="100" t="str">
        <f ca="1">'Translation Table'!H584</f>
        <v>Welded Together</v>
      </c>
      <c r="D93" s="86">
        <v>100</v>
      </c>
      <c r="E93" s="47"/>
    </row>
    <row r="94" spans="2:5" x14ac:dyDescent="0.3">
      <c r="B94" s="43" t="str">
        <f ca="1">'Translation Table'!H561</f>
        <v>Drains</v>
      </c>
      <c r="C94" s="79" t="str">
        <f ca="1">'Translation Table'!H585</f>
        <v>Closed -vent System</v>
      </c>
      <c r="D94" s="43">
        <v>90</v>
      </c>
      <c r="E94" s="47"/>
    </row>
    <row r="95" spans="2:5" x14ac:dyDescent="0.3">
      <c r="B95" s="86" t="str">
        <f ca="1">'Translation Table'!H562</f>
        <v>Drains</v>
      </c>
      <c r="C95" s="100" t="str">
        <f ca="1">'Translation Table'!H586</f>
        <v>None</v>
      </c>
      <c r="D95" s="86">
        <v>0</v>
      </c>
      <c r="E95" s="47"/>
    </row>
    <row r="96" spans="2:5" x14ac:dyDescent="0.3">
      <c r="B96" s="43" t="str">
        <f ca="1">'Translation Table'!H563</f>
        <v>Open-Ended Lines</v>
      </c>
      <c r="C96" s="79" t="str">
        <f ca="1">'Translation Table'!H587</f>
        <v>Blind, Cap, Plug or Second Valve</v>
      </c>
      <c r="D96" s="43">
        <v>100</v>
      </c>
      <c r="E96" s="47"/>
    </row>
    <row r="97" spans="2:5" x14ac:dyDescent="0.3">
      <c r="B97" s="86" t="str">
        <f ca="1">'Translation Table'!H564</f>
        <v>Open-Ended Lines</v>
      </c>
      <c r="C97" s="100" t="str">
        <f ca="1">'Translation Table'!H588</f>
        <v>None</v>
      </c>
      <c r="D97" s="86">
        <v>0</v>
      </c>
      <c r="E97" s="47"/>
    </row>
    <row r="98" spans="2:5" x14ac:dyDescent="0.3">
      <c r="B98" s="43" t="str">
        <f ca="1">'Translation Table'!H565</f>
        <v>Others</v>
      </c>
      <c r="C98" s="79" t="str">
        <f ca="1">'Translation Table'!H589</f>
        <v>None</v>
      </c>
      <c r="D98" s="43">
        <v>0</v>
      </c>
      <c r="E98" s="47"/>
    </row>
    <row r="99" spans="2:5" x14ac:dyDescent="0.3">
      <c r="B99" s="86" t="str">
        <f ca="1">'Translation Table'!H566</f>
        <v>Pressure Relief Devices</v>
      </c>
      <c r="C99" s="100" t="str">
        <f ca="1">'Translation Table'!H590</f>
        <v>Closed-Vent System</v>
      </c>
      <c r="D99" s="86">
        <v>90</v>
      </c>
      <c r="E99" s="47"/>
    </row>
    <row r="100" spans="2:5" x14ac:dyDescent="0.3">
      <c r="B100" s="43" t="str">
        <f ca="1">'Translation Table'!H567</f>
        <v>Pressure Relief Devices</v>
      </c>
      <c r="C100" s="79" t="str">
        <f ca="1">'Translation Table'!H591</f>
        <v>None</v>
      </c>
      <c r="D100" s="43">
        <v>0</v>
      </c>
      <c r="E100" s="47"/>
    </row>
    <row r="101" spans="2:5" x14ac:dyDescent="0.3">
      <c r="B101" s="86" t="str">
        <f ca="1">'Translation Table'!H568</f>
        <v>Pressure Relief Devices</v>
      </c>
      <c r="C101" s="100" t="str">
        <f ca="1">'Translation Table'!H592</f>
        <v>Rupture Disk Assembly</v>
      </c>
      <c r="D101" s="86">
        <v>100</v>
      </c>
    </row>
    <row r="102" spans="2:5" x14ac:dyDescent="0.3">
      <c r="B102" s="43" t="str">
        <f ca="1">'Translation Table'!H569</f>
        <v>Pumps</v>
      </c>
      <c r="C102" s="79" t="str">
        <f ca="1">'Translation Table'!H593</f>
        <v>Closed-Vent System</v>
      </c>
      <c r="D102" s="43">
        <v>90</v>
      </c>
      <c r="E102" s="47"/>
    </row>
    <row r="103" spans="2:5" ht="28" x14ac:dyDescent="0.3">
      <c r="B103" s="86" t="str">
        <f ca="1">'Translation Table'!H570</f>
        <v>Pumps</v>
      </c>
      <c r="C103" s="100" t="str">
        <f ca="1">'Translation Table'!H594</f>
        <v>Dual Mechanical Seals With Barrier Fluid System</v>
      </c>
      <c r="D103" s="86">
        <v>100</v>
      </c>
      <c r="E103" s="47"/>
    </row>
    <row r="104" spans="2:5" x14ac:dyDescent="0.3">
      <c r="B104" s="43" t="str">
        <f ca="1">'Translation Table'!H571</f>
        <v>Pumps</v>
      </c>
      <c r="C104" s="79" t="str">
        <f ca="1">'Translation Table'!H595</f>
        <v>None</v>
      </c>
      <c r="D104" s="43">
        <v>0</v>
      </c>
      <c r="E104" s="47"/>
    </row>
    <row r="105" spans="2:5" x14ac:dyDescent="0.3">
      <c r="B105" s="86" t="str">
        <f ca="1">'Translation Table'!H572</f>
        <v>Pumps</v>
      </c>
      <c r="C105" s="100" t="str">
        <f ca="1">'Translation Table'!H596</f>
        <v>Sealless Design</v>
      </c>
      <c r="D105" s="86">
        <v>100</v>
      </c>
      <c r="E105" s="47"/>
    </row>
    <row r="106" spans="2:5" x14ac:dyDescent="0.3">
      <c r="B106" s="43" t="str">
        <f ca="1">'Translation Table'!H573</f>
        <v>Regulators</v>
      </c>
      <c r="C106" s="79" t="str">
        <f ca="1">'Translation Table'!H597</f>
        <v>None</v>
      </c>
      <c r="D106" s="43">
        <v>0</v>
      </c>
      <c r="E106" s="47"/>
    </row>
    <row r="107" spans="2:5" x14ac:dyDescent="0.3">
      <c r="B107" s="86" t="str">
        <f ca="1">'Translation Table'!H574</f>
        <v>Sampling Connections</v>
      </c>
      <c r="C107" s="100" t="str">
        <f ca="1">'Translation Table'!H598</f>
        <v>Blind, Cap, Plug or Second Valve</v>
      </c>
      <c r="D107" s="86">
        <v>100</v>
      </c>
      <c r="E107" s="47"/>
    </row>
    <row r="108" spans="2:5" x14ac:dyDescent="0.3">
      <c r="B108" s="43" t="str">
        <f ca="1">'Translation Table'!H575</f>
        <v>Sampling Connections</v>
      </c>
      <c r="C108" s="79" t="str">
        <f ca="1">'Translation Table'!H599</f>
        <v>None</v>
      </c>
      <c r="D108" s="43">
        <v>0</v>
      </c>
      <c r="E108" s="47"/>
    </row>
    <row r="109" spans="2:5" x14ac:dyDescent="0.3">
      <c r="B109" s="86" t="str">
        <f ca="1">'Translation Table'!H576</f>
        <v>Valves</v>
      </c>
      <c r="C109" s="100" t="str">
        <f ca="1">'Translation Table'!H600</f>
        <v>None</v>
      </c>
      <c r="D109" s="86">
        <v>0</v>
      </c>
      <c r="E109" s="47"/>
    </row>
    <row r="110" spans="2:5" x14ac:dyDescent="0.3">
      <c r="B110" s="43" t="str">
        <f ca="1">'Translation Table'!H577</f>
        <v>Valves</v>
      </c>
      <c r="C110" s="79" t="str">
        <f ca="1">'Translation Table'!H601</f>
        <v>Sealless Design</v>
      </c>
      <c r="D110" s="43">
        <v>100</v>
      </c>
    </row>
    <row r="113" spans="2:8" ht="22.5" x14ac:dyDescent="0.45">
      <c r="B113" s="92" t="str">
        <f ca="1">'Translation Table'!H602</f>
        <v>Facility Type  Look-up Table</v>
      </c>
    </row>
    <row r="115" spans="2:8" ht="15.5" x14ac:dyDescent="0.35">
      <c r="B115" s="93" t="str">
        <f ca="1">'Translation Table'!H653</f>
        <v>Onshore Production</v>
      </c>
      <c r="C115" s="93" t="str">
        <f ca="1">'Translation Table'!H654</f>
        <v>Offshore Production</v>
      </c>
      <c r="D115" s="93" t="str">
        <f ca="1">'Translation Table'!H604</f>
        <v>Gas Processing</v>
      </c>
      <c r="E115" s="93" t="str">
        <f ca="1">'Translation Table'!H605</f>
        <v>Gas Transmission</v>
      </c>
      <c r="F115" s="93" t="str">
        <f ca="1">'Translation Table'!H606</f>
        <v>Gas Storage</v>
      </c>
      <c r="G115" s="94" t="str">
        <f ca="1">'Translation Table'!H607</f>
        <v>Gas Distribution</v>
      </c>
      <c r="H115" s="36"/>
    </row>
    <row r="116" spans="2:8" x14ac:dyDescent="0.3">
      <c r="B116" s="98" t="str">
        <f ca="1">'Translation Table'!H608</f>
        <v>Compressor Station - Gas Gathering</v>
      </c>
      <c r="C116" s="98" t="str">
        <f ca="1">'Translation Table'!H609</f>
        <v>Production Platform (c/w Compression)</v>
      </c>
      <c r="D116" s="98" t="str">
        <f ca="1">'Translation Table'!H610</f>
        <v>Sour Gas Plant</v>
      </c>
      <c r="E116" s="98" t="str">
        <f ca="1">'Translation Table'!H611</f>
        <v>LNG Regasification</v>
      </c>
      <c r="F116" s="98" t="str">
        <f ca="1">'Translation Table'!H614</f>
        <v>Storage Facility</v>
      </c>
      <c r="G116" s="99" t="str">
        <f ca="1">'Translation Table'!H615</f>
        <v>Compressor Station</v>
      </c>
      <c r="H116" s="36" t="e">
        <f>IF('Setup - IPCC Assessment'!#REF!=2,'Lookup Tables'!B116,IF('Setup - IPCC Assessment'!#REF!=3,'Lookup Tables'!C116,IF('Setup - IPCC Assessment'!#REF!=4,'Lookup Tables'!D116,IF('Setup - IPCC Assessment'!#REF!=5,'Lookup Tables'!E116,IF('Setup - IPCC Assessment'!#REF!=6,'Lookup Tables'!F116,IF('Setup - IPCC Assessment'!#REF!=7,'Lookup Tables'!G116,"")))))&amp;"")</f>
        <v>#REF!</v>
      </c>
    </row>
    <row r="117" spans="2:8" x14ac:dyDescent="0.3">
      <c r="B117" s="80" t="str">
        <f ca="1">'Translation Table'!H618</f>
        <v>Field Dehydrator</v>
      </c>
      <c r="C117" s="80" t="str">
        <f ca="1">'Translation Table'!H619</f>
        <v>Production Platform (wells only)</v>
      </c>
      <c r="D117" s="80" t="str">
        <f ca="1">'Translation Table'!H620</f>
        <v>Sweet Gas Plant</v>
      </c>
      <c r="E117" s="80" t="str">
        <f ca="1">'Translation Table'!H612</f>
        <v>LNG Shipping</v>
      </c>
      <c r="F117" s="80" t="str">
        <f ca="1">'Translation Table'!H622</f>
        <v>Storage Well</v>
      </c>
      <c r="G117" s="81" t="str">
        <f ca="1">'Translation Table'!H616</f>
        <v>Distribution LNG Satellite</v>
      </c>
      <c r="H117" s="36" t="e">
        <f>IF('Setup - IPCC Assessment'!#REF!=2,'Lookup Tables'!B117,IF('Setup - IPCC Assessment'!#REF!=3,'Lookup Tables'!C117,IF('Setup - IPCC Assessment'!#REF!=4,'Lookup Tables'!D117,IF('Setup - IPCC Assessment'!#REF!=5,'Lookup Tables'!E117,IF('Setup - IPCC Assessment'!#REF!=6,'Lookup Tables'!F117,IF('Setup - IPCC Assessment'!#REF!=7,'Lookup Tables'!G117,"")))))&amp;"")</f>
        <v>#REF!</v>
      </c>
    </row>
    <row r="118" spans="2:8" x14ac:dyDescent="0.3">
      <c r="B118" s="98" t="str">
        <f ca="1">'Translation Table'!H624</f>
        <v>Group Battery - Extra Heavy Oil</v>
      </c>
      <c r="C118" s="98" t="str">
        <f ca="1">'Translation Table'!H625</f>
        <v>Processing Platform</v>
      </c>
      <c r="D118" s="98" t="str">
        <f ca="1">'Translation Table'!H626</f>
        <v>LNG Plant (Liquefaction)</v>
      </c>
      <c r="E118" s="98" t="str">
        <f ca="1">'Translation Table'!H613</f>
        <v>Compressor Station</v>
      </c>
      <c r="F118" s="98"/>
      <c r="G118" s="99" t="str">
        <f ca="1">'Translation Table'!H617</f>
        <v>Pressure Regulator Station</v>
      </c>
      <c r="H118" s="36" t="e">
        <f>IF('Setup - IPCC Assessment'!#REF!=2,'Lookup Tables'!B118,IF('Setup - IPCC Assessment'!#REF!=3,'Lookup Tables'!C118,IF('Setup - IPCC Assessment'!#REF!=4,'Lookup Tables'!D118,IF('Setup - IPCC Assessment'!#REF!=5,'Lookup Tables'!E118,IF('Setup - IPCC Assessment'!#REF!=6,'Lookup Tables'!F118,IF('Setup - IPCC Assessment'!#REF!=7,'Lookup Tables'!G118,"")))))&amp;"")</f>
        <v>#REF!</v>
      </c>
    </row>
    <row r="119" spans="2:8" x14ac:dyDescent="0.3">
      <c r="B119" s="80" t="str">
        <f ca="1">'Translation Table'!H629</f>
        <v>Group Battery - Gas</v>
      </c>
      <c r="C119" s="80"/>
      <c r="D119" s="80"/>
      <c r="E119" s="80" t="str">
        <f ca="1">'Translation Table'!H621</f>
        <v>Receipt Meter Station</v>
      </c>
      <c r="F119" s="80"/>
      <c r="G119" s="81" t="str">
        <f ca="1">'Translation Table'!H623</f>
        <v>Receipt Meter Station</v>
      </c>
      <c r="H119" s="36" t="e">
        <f>IF('Setup - IPCC Assessment'!#REF!=2,'Lookup Tables'!B119,IF('Setup - IPCC Assessment'!#REF!=3,'Lookup Tables'!C119,IF('Setup - IPCC Assessment'!#REF!=4,'Lookup Tables'!D119,IF('Setup - IPCC Assessment'!#REF!=5,'Lookup Tables'!E119,IF('Setup - IPCC Assessment'!#REF!=6,'Lookup Tables'!F119,IF('Setup - IPCC Assessment'!#REF!=7,'Lookup Tables'!G119,"")))))&amp;"")</f>
        <v>#REF!</v>
      </c>
    </row>
    <row r="120" spans="2:8" x14ac:dyDescent="0.3">
      <c r="B120" s="98" t="str">
        <f ca="1">'Translation Table'!H631</f>
        <v>Group Battery - Heavy Oil</v>
      </c>
      <c r="C120" s="98"/>
      <c r="D120" s="98"/>
      <c r="E120" s="98" t="str">
        <f ca="1">'Translation Table'!H627</f>
        <v>Sales Meter Station</v>
      </c>
      <c r="F120" s="98"/>
      <c r="G120" s="99" t="str">
        <f ca="1">'Translation Table'!H628</f>
        <v>Sales Meter Station - Commercial</v>
      </c>
      <c r="H120" s="36" t="e">
        <f>IF('Setup - IPCC Assessment'!#REF!=2,'Lookup Tables'!B120,IF('Setup - IPCC Assessment'!#REF!=3,'Lookup Tables'!C120,IF('Setup - IPCC Assessment'!#REF!=4,'Lookup Tables'!D120,IF('Setup - IPCC Assessment'!#REF!=5,'Lookup Tables'!E120,IF('Setup - IPCC Assessment'!#REF!=6,'Lookup Tables'!F120,IF('Setup - IPCC Assessment'!#REF!=7,'Lookup Tables'!G120,"")))))&amp;"")</f>
        <v>#REF!</v>
      </c>
    </row>
    <row r="121" spans="2:8" x14ac:dyDescent="0.3">
      <c r="B121" s="80" t="str">
        <f ca="1">'Translation Table'!H633</f>
        <v>Group Battery - Oil</v>
      </c>
      <c r="C121" s="80"/>
      <c r="D121" s="80"/>
      <c r="E121" s="80"/>
      <c r="F121" s="80"/>
      <c r="G121" s="81" t="str">
        <f ca="1">'Translation Table'!H630</f>
        <v>Sales Meter Station - Industrial</v>
      </c>
      <c r="H121" s="36" t="e">
        <f>IF('Setup - IPCC Assessment'!#REF!=2,'Lookup Tables'!B121,IF('Setup - IPCC Assessment'!#REF!=3,'Lookup Tables'!C121,IF('Setup - IPCC Assessment'!#REF!=4,'Lookup Tables'!D121,IF('Setup - IPCC Assessment'!#REF!=5,'Lookup Tables'!E121,IF('Setup - IPCC Assessment'!#REF!=6,'Lookup Tables'!F121,IF('Setup - IPCC Assessment'!#REF!=7,'Lookup Tables'!G121,"")))))&amp;"")</f>
        <v>#REF!</v>
      </c>
    </row>
    <row r="122" spans="2:8" x14ac:dyDescent="0.3">
      <c r="B122" s="98" t="str">
        <f ca="1">'Translation Table'!H634</f>
        <v>Single-Well Battery - Extra Heavy Oil</v>
      </c>
      <c r="C122" s="98"/>
      <c r="D122" s="98"/>
      <c r="E122" s="98"/>
      <c r="F122" s="98"/>
      <c r="G122" s="99" t="str">
        <f ca="1">'Translation Table'!H632</f>
        <v>Sales Meter Station - Residential</v>
      </c>
      <c r="H122" s="36" t="e">
        <f>IF('Setup - IPCC Assessment'!#REF!=2,'Lookup Tables'!B122,IF('Setup - IPCC Assessment'!#REF!=3,'Lookup Tables'!C122,IF('Setup - IPCC Assessment'!#REF!=4,'Lookup Tables'!D122,IF('Setup - IPCC Assessment'!#REF!=5,'Lookup Tables'!E122,IF('Setup - IPCC Assessment'!#REF!=6,'Lookup Tables'!F122,IF('Setup - IPCC Assessment'!#REF!=7,'Lookup Tables'!G122,"")))))&amp;"")</f>
        <v>#REF!</v>
      </c>
    </row>
    <row r="123" spans="2:8" x14ac:dyDescent="0.3">
      <c r="B123" s="80" t="str">
        <f ca="1">'Translation Table'!H635</f>
        <v>Single-Well Battery - Gas</v>
      </c>
      <c r="C123" s="80"/>
      <c r="D123" s="80"/>
      <c r="E123" s="80"/>
      <c r="F123" s="80"/>
      <c r="G123" s="81"/>
      <c r="H123" s="36" t="e">
        <f>IF('Setup - IPCC Assessment'!#REF!=2,'Lookup Tables'!B123,IF('Setup - IPCC Assessment'!#REF!=3,'Lookup Tables'!C123,IF('Setup - IPCC Assessment'!#REF!=4,'Lookup Tables'!D123,IF('Setup - IPCC Assessment'!#REF!=5,'Lookup Tables'!E123,IF('Setup - IPCC Assessment'!#REF!=6,'Lookup Tables'!F123,IF('Setup - IPCC Assessment'!#REF!=7,'Lookup Tables'!G123,"")))))&amp;"")</f>
        <v>#REF!</v>
      </c>
    </row>
    <row r="124" spans="2:8" x14ac:dyDescent="0.3">
      <c r="B124" s="98" t="str">
        <f ca="1">'Translation Table'!H636</f>
        <v>Single-Well Battery - Heavy Oil</v>
      </c>
      <c r="C124" s="98"/>
      <c r="D124" s="98"/>
      <c r="E124" s="98"/>
      <c r="F124" s="98"/>
      <c r="G124" s="99"/>
      <c r="H124" s="36" t="e">
        <f>IF('Setup - IPCC Assessment'!#REF!=2,'Lookup Tables'!B124,IF('Setup - IPCC Assessment'!#REF!=3,'Lookup Tables'!C124,IF('Setup - IPCC Assessment'!#REF!=4,'Lookup Tables'!D124,IF('Setup - IPCC Assessment'!#REF!=5,'Lookup Tables'!E124,IF('Setup - IPCC Assessment'!#REF!=6,'Lookup Tables'!F124,IF('Setup - IPCC Assessment'!#REF!=7,'Lookup Tables'!G124,"")))))&amp;"")</f>
        <v>#REF!</v>
      </c>
    </row>
    <row r="125" spans="2:8" x14ac:dyDescent="0.3">
      <c r="B125" s="82" t="str">
        <f ca="1">'Translation Table'!H637</f>
        <v>Single-Well Battery - Oil</v>
      </c>
      <c r="C125" s="82"/>
      <c r="D125" s="82"/>
      <c r="E125" s="82"/>
      <c r="F125" s="82"/>
      <c r="G125" s="43"/>
      <c r="H125" s="36" t="e">
        <f>IF('Setup - IPCC Assessment'!#REF!=2,'Lookup Tables'!B125,IF('Setup - IPCC Assessment'!#REF!=3,'Lookup Tables'!C125,IF('Setup - IPCC Assessment'!#REF!=4,'Lookup Tables'!D125,IF('Setup - IPCC Assessment'!#REF!=5,'Lookup Tables'!E125,IF('Setup - IPCC Assessment'!#REF!=6,'Lookup Tables'!F125,IF('Setup - IPCC Assessment'!#REF!=7,'Lookup Tables'!G125,"")))))&amp;"")</f>
        <v>#REF!</v>
      </c>
    </row>
    <row r="126" spans="2:8" x14ac:dyDescent="0.3">
      <c r="B126" s="113" t="str">
        <f ca="1">'Translation Table'!H638</f>
        <v xml:space="preserve">Abandoned wells </v>
      </c>
      <c r="C126" s="113"/>
      <c r="D126" s="113"/>
      <c r="E126" s="113"/>
      <c r="F126" s="113"/>
      <c r="G126" s="113"/>
      <c r="H126" s="36" t="e">
        <f>IF('Setup - IPCC Assessment'!#REF!=2,'Lookup Tables'!B126,IF('Setup - IPCC Assessment'!#REF!=3,'Lookup Tables'!C126,IF('Setup - IPCC Assessment'!#REF!=4,'Lookup Tables'!D126,IF('Setup - IPCC Assessment'!#REF!=5,'Lookup Tables'!E126,IF('Setup - IPCC Assessment'!#REF!=6,'Lookup Tables'!F126,IF('Setup - IPCC Assessment'!#REF!=7,'Lookup Tables'!G126,"")))))&amp;"")</f>
        <v>#REF!</v>
      </c>
    </row>
    <row r="128" spans="2:8" ht="22.5" x14ac:dyDescent="0.45">
      <c r="B128" s="92" t="str">
        <f ca="1">'Translation Table'!H639</f>
        <v>Error Messages</v>
      </c>
    </row>
    <row r="130" spans="2:16" ht="15.5" x14ac:dyDescent="0.35">
      <c r="B130" s="88" t="str">
        <f ca="1">'Translation Table'!H640</f>
        <v>Error Code</v>
      </c>
      <c r="C130" s="88" t="str">
        <f ca="1">'Translation Table'!H641</f>
        <v>Error Message (Active)</v>
      </c>
      <c r="D130" s="88" t="str">
        <f>'Translation Table'!I642 &amp; ""</f>
        <v>Error Message</v>
      </c>
      <c r="E130" s="88" t="str">
        <f>'Translation Table'!J642 &amp; ""</f>
        <v>错误信息</v>
      </c>
      <c r="F130" s="95" t="str">
        <f>'Translation Table'!K642 &amp; ""</f>
        <v>Mensaje de Error</v>
      </c>
      <c r="G130" s="41" t="str">
        <f>'Translation Table'!L642 &amp; ""</f>
        <v/>
      </c>
      <c r="H130" s="41" t="str">
        <f>'Translation Table'!M642 &amp; ""</f>
        <v/>
      </c>
      <c r="I130" s="41" t="str">
        <f>'Translation Table'!N642 &amp; ""</f>
        <v/>
      </c>
      <c r="J130" s="41" t="str">
        <f>'Translation Table'!O642 &amp; ""</f>
        <v/>
      </c>
      <c r="K130" s="41" t="str">
        <f>'Translation Table'!P642 &amp; ""</f>
        <v/>
      </c>
      <c r="L130" s="41" t="str">
        <f>'Translation Table'!Q642 &amp; ""</f>
        <v/>
      </c>
      <c r="M130" s="41" t="str">
        <f>'Translation Table'!R642 &amp; ""</f>
        <v/>
      </c>
      <c r="N130" s="41" t="str">
        <f>'Translation Table'!S642 &amp; ""</f>
        <v/>
      </c>
      <c r="O130" s="41" t="str">
        <f>'Translation Table'!T642 &amp; ""</f>
        <v/>
      </c>
      <c r="P130" s="41" t="str">
        <f>'Translation Table'!U642 &amp; ""</f>
        <v/>
      </c>
    </row>
    <row r="131" spans="2:16" x14ac:dyDescent="0.3">
      <c r="B131" s="91" t="s">
        <v>216</v>
      </c>
      <c r="C131" s="96" t="str">
        <f ca="1">INDIRECT(CHAR(64+'Translation Table'!$D$1-5)&amp;ROW())</f>
        <v>Error: This field must be completed.</v>
      </c>
      <c r="D131" s="96" t="str">
        <f>'Translation Table'!I643</f>
        <v>Error: This field must be completed.</v>
      </c>
      <c r="E131" s="96" t="str">
        <f>IF(ISBLANK($D131),"",'Translation Table'!J643 &amp; "")</f>
        <v>错误：必须填写此字段.</v>
      </c>
      <c r="F131" s="97" t="str">
        <f>IF(ISBLANK($D131),"",'Translation Table'!K643 &amp; "")</f>
        <v>Error: Este campo debe ser completado.</v>
      </c>
      <c r="G131" s="84" t="str">
        <f>IF(ISBLANK($D131),"",'Translation Table'!L643 &amp; "")</f>
        <v/>
      </c>
      <c r="H131" s="84" t="str">
        <f>IF(ISBLANK($D131),"",'Translation Table'!M643 &amp; "")</f>
        <v/>
      </c>
      <c r="I131" s="84" t="str">
        <f>IF(ISBLANK($D131),"",'Translation Table'!N643 &amp; "")</f>
        <v/>
      </c>
      <c r="J131" s="84" t="str">
        <f>IF(ISBLANK($D131),"",'Translation Table'!O643 &amp; "")</f>
        <v/>
      </c>
      <c r="K131" s="84" t="str">
        <f>IF(ISBLANK($D131),"",'Translation Table'!P643 &amp; "")</f>
        <v/>
      </c>
      <c r="L131" s="84" t="str">
        <f>IF(ISBLANK($D131),"",'Translation Table'!Q643 &amp; "")</f>
        <v/>
      </c>
      <c r="M131" s="84" t="str">
        <f>IF(ISBLANK($D131),"",'Translation Table'!R643 &amp; "")</f>
        <v/>
      </c>
      <c r="N131" s="84" t="str">
        <f>IF(ISBLANK($D131),"",'Translation Table'!S643 &amp; "")</f>
        <v/>
      </c>
      <c r="O131" s="84" t="str">
        <f>IF(ISBLANK($D131),"",'Translation Table'!T643 &amp; "")</f>
        <v/>
      </c>
      <c r="P131" s="84" t="str">
        <f>IF(ISBLANK($D131),"",'Translation Table'!U643 &amp; "")</f>
        <v/>
      </c>
    </row>
    <row r="132" spans="2:16" ht="28" x14ac:dyDescent="0.3">
      <c r="B132" s="54" t="s">
        <v>217</v>
      </c>
      <c r="C132" s="83" t="str">
        <f ca="1">INDIRECT(CHAR(64+'Translation Table'!$D$1-5)&amp;ROW())</f>
        <v>Error: the source of the input value needs to be set in Column G.</v>
      </c>
      <c r="D132" s="83" t="str">
        <f>'Translation Table'!I644</f>
        <v>Error: the source of the input value needs to be set in Column G.</v>
      </c>
      <c r="E132" s="83" t="str">
        <f>IF(ISBLANK($D132),"",'Translation Table'!J644 &amp; "")</f>
        <v>错误：需要在 G 列设置输入值的来源.</v>
      </c>
      <c r="F132" s="84" t="str">
        <f>IF(ISBLANK($D132),"",'Translation Table'!K644 &amp; "")</f>
        <v>Error: la fuente del valor de entrada debe establecerse en la columna G.</v>
      </c>
      <c r="G132" s="84" t="str">
        <f>IF(ISBLANK($D132),"",'Translation Table'!L644 &amp; "")</f>
        <v/>
      </c>
      <c r="H132" s="84" t="str">
        <f>IF(ISBLANK($D132),"",'Translation Table'!M644 &amp; "")</f>
        <v/>
      </c>
      <c r="I132" s="84" t="str">
        <f>IF(ISBLANK($D132),"",'Translation Table'!N644 &amp; "")</f>
        <v/>
      </c>
      <c r="J132" s="84" t="str">
        <f>IF(ISBLANK($D132),"",'Translation Table'!O644 &amp; "")</f>
        <v/>
      </c>
      <c r="K132" s="84" t="str">
        <f>IF(ISBLANK($D132),"",'Translation Table'!P644 &amp; "")</f>
        <v/>
      </c>
      <c r="L132" s="84" t="str">
        <f>IF(ISBLANK($D132),"",'Translation Table'!Q644 &amp; "")</f>
        <v/>
      </c>
      <c r="M132" s="84" t="str">
        <f>IF(ISBLANK($D132),"",'Translation Table'!R644 &amp; "")</f>
        <v/>
      </c>
      <c r="N132" s="84" t="str">
        <f>IF(ISBLANK($D132),"",'Translation Table'!S644 &amp; "")</f>
        <v/>
      </c>
      <c r="O132" s="84" t="str">
        <f>IF(ISBLANK($D132),"",'Translation Table'!T644 &amp; "")</f>
        <v/>
      </c>
      <c r="P132" s="84" t="str">
        <f>IF(ISBLANK($D132),"",'Translation Table'!U644 &amp; "")</f>
        <v/>
      </c>
    </row>
    <row r="133" spans="2:16" ht="28" x14ac:dyDescent="0.3">
      <c r="B133" s="91" t="s">
        <v>218</v>
      </c>
      <c r="C133" s="96" t="str">
        <f ca="1">INDIRECT(CHAR(64+'Translation Table'!$D$1-5)&amp;ROW())</f>
        <v>Error: either the Type or Source-of-Value field needs to be completed.</v>
      </c>
      <c r="D133" s="96" t="str">
        <f>'Translation Table'!I645</f>
        <v>Error: either the Type or Source-of-Value field needs to be completed.</v>
      </c>
      <c r="E133" s="96" t="str">
        <f>IF(ISBLANK($D133),"",'Translation Table'!J645 &amp; "")</f>
        <v>错误：需要填写类型或值源字段.</v>
      </c>
      <c r="F133" s="97" t="str">
        <f>IF(ISBLANK($D133),"",'Translation Table'!K645 &amp; "")</f>
        <v>Error: se debe completar el campo Tipo o Fuente de valor.</v>
      </c>
      <c r="G133" s="84" t="str">
        <f>IF(ISBLANK($D133),"",'Translation Table'!L645 &amp; "")</f>
        <v/>
      </c>
      <c r="H133" s="84" t="str">
        <f>IF(ISBLANK($D133),"",'Translation Table'!M645 &amp; "")</f>
        <v/>
      </c>
      <c r="I133" s="84" t="str">
        <f>IF(ISBLANK($D133),"",'Translation Table'!N645 &amp; "")</f>
        <v/>
      </c>
      <c r="J133" s="84" t="str">
        <f>IF(ISBLANK($D133),"",'Translation Table'!O645 &amp; "")</f>
        <v/>
      </c>
      <c r="K133" s="84" t="str">
        <f>IF(ISBLANK($D133),"",'Translation Table'!P645 &amp; "")</f>
        <v/>
      </c>
      <c r="L133" s="84" t="str">
        <f>IF(ISBLANK($D133),"",'Translation Table'!Q645 &amp; "")</f>
        <v/>
      </c>
      <c r="M133" s="84" t="str">
        <f>IF(ISBLANK($D133),"",'Translation Table'!R645 &amp; "")</f>
        <v/>
      </c>
      <c r="N133" s="84" t="str">
        <f>IF(ISBLANK($D133),"",'Translation Table'!S645 &amp; "")</f>
        <v/>
      </c>
      <c r="O133" s="84" t="str">
        <f>IF(ISBLANK($D133),"",'Translation Table'!T645 &amp; "")</f>
        <v/>
      </c>
      <c r="P133" s="84" t="str">
        <f>IF(ISBLANK($D133),"",'Translation Table'!U645 &amp; "")</f>
        <v/>
      </c>
    </row>
    <row r="134" spans="2:16" ht="28" x14ac:dyDescent="0.3">
      <c r="B134" s="54" t="s">
        <v>219</v>
      </c>
      <c r="C134" s="83" t="str">
        <f ca="1">INDIRECT(CHAR(64+'Translation Table'!$D$1-5)&amp;ROW())</f>
        <v>Error: invalid or undefined process type for the specified industry segment.</v>
      </c>
      <c r="D134" s="83" t="str">
        <f>'Translation Table'!I646</f>
        <v>Error: invalid or undefined process type for the specified industry segment.</v>
      </c>
      <c r="E134" s="83" t="str">
        <f>IF(ISBLANK($D134),"",'Translation Table'!J646 &amp; "")</f>
        <v>错误：指定行业细分的流程类型无效或未定义.</v>
      </c>
      <c r="F134" s="84" t="str">
        <f>IF(ISBLANK($D134),"",'Translation Table'!K646 &amp; "")</f>
        <v>Error: tipo de proceso inválido o indefinido para el segmento de industria especificado.</v>
      </c>
      <c r="G134" s="84" t="str">
        <f>IF(ISBLANK($D134),"",'Translation Table'!L646 &amp; "")</f>
        <v/>
      </c>
      <c r="H134" s="84" t="str">
        <f>IF(ISBLANK($D134),"",'Translation Table'!M646 &amp; "")</f>
        <v/>
      </c>
      <c r="I134" s="84" t="str">
        <f>IF(ISBLANK($D134),"",'Translation Table'!N646 &amp; "")</f>
        <v/>
      </c>
      <c r="J134" s="84" t="str">
        <f>IF(ISBLANK($D134),"",'Translation Table'!O646 &amp; "")</f>
        <v/>
      </c>
      <c r="K134" s="84" t="str">
        <f>IF(ISBLANK($D134),"",'Translation Table'!P646 &amp; "")</f>
        <v/>
      </c>
      <c r="L134" s="84" t="str">
        <f>IF(ISBLANK($D134),"",'Translation Table'!Q646 &amp; "")</f>
        <v/>
      </c>
      <c r="M134" s="84" t="str">
        <f>IF(ISBLANK($D134),"",'Translation Table'!R646 &amp; "")</f>
        <v/>
      </c>
      <c r="N134" s="84" t="str">
        <f>IF(ISBLANK($D134),"",'Translation Table'!S646 &amp; "")</f>
        <v/>
      </c>
      <c r="O134" s="84" t="str">
        <f>IF(ISBLANK($D134),"",'Translation Table'!T646 &amp; "")</f>
        <v/>
      </c>
      <c r="P134" s="84" t="str">
        <f>IF(ISBLANK($D134),"",'Translation Table'!U646 &amp; "")</f>
        <v/>
      </c>
    </row>
    <row r="135" spans="2:16" ht="28" x14ac:dyDescent="0.3">
      <c r="B135" s="91" t="s">
        <v>220</v>
      </c>
      <c r="C135" s="96" t="str">
        <f ca="1">INDIRECT(CHAR(64+'Translation Table'!$D$1-5)&amp;ROW())</f>
        <v>Error: the sum of the entered values must not exceed 100%.</v>
      </c>
      <c r="D135" s="96" t="str">
        <f>'Translation Table'!I647</f>
        <v>Error: the sum of the entered values must not exceed 100%.</v>
      </c>
      <c r="E135" s="96" t="str">
        <f>IF(ISBLANK($D135),"",'Translation Table'!J647 &amp; "")</f>
        <v>错误：输入值的总和不得超过 100%.</v>
      </c>
      <c r="F135" s="97" t="str">
        <f>IF(ISBLANK($D135),"",'Translation Table'!K647 &amp; "")</f>
        <v>Error: la suma de los valores ingresados no debe exceder el 100%.</v>
      </c>
      <c r="G135" s="84" t="str">
        <f>IF(ISBLANK($D135),"",'Translation Table'!L647 &amp; "")</f>
        <v/>
      </c>
      <c r="H135" s="84" t="str">
        <f>IF(ISBLANK($D135),"",'Translation Table'!M647 &amp; "")</f>
        <v/>
      </c>
      <c r="I135" s="84" t="str">
        <f>IF(ISBLANK($D135),"",'Translation Table'!N647 &amp; "")</f>
        <v/>
      </c>
      <c r="J135" s="84" t="str">
        <f>IF(ISBLANK($D135),"",'Translation Table'!O647 &amp; "")</f>
        <v/>
      </c>
      <c r="K135" s="84" t="str">
        <f>IF(ISBLANK($D135),"",'Translation Table'!P647 &amp; "")</f>
        <v/>
      </c>
      <c r="L135" s="84" t="str">
        <f>IF(ISBLANK($D135),"",'Translation Table'!Q647 &amp; "")</f>
        <v/>
      </c>
      <c r="M135" s="84" t="str">
        <f>IF(ISBLANK($D135),"",'Translation Table'!R647 &amp; "")</f>
        <v/>
      </c>
      <c r="N135" s="84" t="str">
        <f>IF(ISBLANK($D135),"",'Translation Table'!S647 &amp; "")</f>
        <v/>
      </c>
      <c r="O135" s="84" t="str">
        <f>IF(ISBLANK($D135),"",'Translation Table'!T647 &amp; "")</f>
        <v/>
      </c>
      <c r="P135" s="84" t="str">
        <f>IF(ISBLANK($D135),"",'Translation Table'!U647 &amp; "")</f>
        <v/>
      </c>
    </row>
    <row r="136" spans="2:16" ht="28" x14ac:dyDescent="0.3">
      <c r="B136" s="54" t="s">
        <v>221</v>
      </c>
      <c r="C136" s="83" t="str">
        <f ca="1">INDIRECT(CHAR(64+'Translation Table'!$D$1-5)&amp;ROW())</f>
        <v>Error: the source of the composition values needs to be set.</v>
      </c>
      <c r="D136" s="83" t="str">
        <f>'Translation Table'!I648</f>
        <v>Error: the source of the composition values needs to be set.</v>
      </c>
      <c r="E136" s="83" t="str">
        <f>IF(ISBLANK($D136),"",'Translation Table'!J648 &amp; "")</f>
        <v>错误：需要设置合成值的来源.</v>
      </c>
      <c r="F136" s="84" t="str">
        <f>IF(ISBLANK($D136),"",'Translation Table'!K648 &amp; "")</f>
        <v>Error: es necesario establecer la fuente de los valores de composición.</v>
      </c>
      <c r="G136" s="84" t="str">
        <f>IF(ISBLANK($D136),"",'Translation Table'!L648 &amp; "")</f>
        <v/>
      </c>
      <c r="H136" s="84" t="str">
        <f>IF(ISBLANK($D136),"",'Translation Table'!M648 &amp; "")</f>
        <v/>
      </c>
      <c r="I136" s="84" t="str">
        <f>IF(ISBLANK($D136),"",'Translation Table'!N648 &amp; "")</f>
        <v/>
      </c>
      <c r="J136" s="84" t="str">
        <f>IF(ISBLANK($D136),"",'Translation Table'!O648 &amp; "")</f>
        <v/>
      </c>
      <c r="K136" s="84" t="str">
        <f>IF(ISBLANK($D136),"",'Translation Table'!P648 &amp; "")</f>
        <v/>
      </c>
      <c r="L136" s="84" t="str">
        <f>IF(ISBLANK($D136),"",'Translation Table'!Q648 &amp; "")</f>
        <v/>
      </c>
      <c r="M136" s="84" t="str">
        <f>IF(ISBLANK($D136),"",'Translation Table'!R648 &amp; "")</f>
        <v/>
      </c>
      <c r="N136" s="84" t="str">
        <f>IF(ISBLANK($D136),"",'Translation Table'!S648 &amp; "")</f>
        <v/>
      </c>
      <c r="O136" s="84" t="str">
        <f>IF(ISBLANK($D136),"",'Translation Table'!T648 &amp; "")</f>
        <v/>
      </c>
      <c r="P136" s="84" t="str">
        <f>IF(ISBLANK($D136),"",'Translation Table'!U648 &amp; "")</f>
        <v/>
      </c>
    </row>
    <row r="137" spans="2:16" x14ac:dyDescent="0.3">
      <c r="B137" s="91" t="s">
        <v>222</v>
      </c>
      <c r="C137" s="96">
        <f ca="1">INDIRECT(CHAR(64+'Translation Table'!$D$1-5)&amp;ROW())</f>
        <v>0</v>
      </c>
      <c r="D137" s="96"/>
      <c r="E137" s="96" t="str">
        <f>IF(ISBLANK($D137),"",'Translation Table'!#REF! &amp; "")</f>
        <v/>
      </c>
      <c r="F137" s="97" t="str">
        <f>IF(ISBLANK($D137),"",'Translation Table'!#REF! &amp; "")</f>
        <v/>
      </c>
      <c r="G137" s="84" t="str">
        <f>IF(ISBLANK($D137),"",'Translation Table'!#REF! &amp; "")</f>
        <v/>
      </c>
      <c r="H137" s="84" t="str">
        <f>IF(ISBLANK($D137),"",'Translation Table'!#REF! &amp; "")</f>
        <v/>
      </c>
      <c r="I137" s="84" t="str">
        <f>IF(ISBLANK($D137),"",'Translation Table'!#REF! &amp; "")</f>
        <v/>
      </c>
      <c r="J137" s="84" t="str">
        <f>IF(ISBLANK($D137),"",'Translation Table'!#REF! &amp; "")</f>
        <v/>
      </c>
      <c r="K137" s="84" t="str">
        <f>IF(ISBLANK($D137),"",'Translation Table'!#REF! &amp; "")</f>
        <v/>
      </c>
      <c r="L137" s="84" t="str">
        <f>IF(ISBLANK($D137),"",'Translation Table'!#REF! &amp; "")</f>
        <v/>
      </c>
      <c r="M137" s="84" t="str">
        <f>IF(ISBLANK($D137),"",'Translation Table'!#REF! &amp; "")</f>
        <v/>
      </c>
      <c r="N137" s="84" t="str">
        <f>IF(ISBLANK($D137),"",'Translation Table'!#REF! &amp; "")</f>
        <v/>
      </c>
      <c r="O137" s="84" t="str">
        <f>IF(ISBLANK($D137),"",'Translation Table'!#REF! &amp; "")</f>
        <v/>
      </c>
      <c r="P137" s="84" t="str">
        <f>IF(ISBLANK($D137),"",'Translation Table'!#REF! &amp; "")</f>
        <v/>
      </c>
    </row>
    <row r="138" spans="2:16" x14ac:dyDescent="0.3">
      <c r="B138" s="54" t="s">
        <v>223</v>
      </c>
      <c r="C138" s="83">
        <f ca="1">INDIRECT(CHAR(64+'Translation Table'!$D$1-5)&amp;ROW())</f>
        <v>0</v>
      </c>
      <c r="D138" s="83"/>
      <c r="E138" s="83" t="str">
        <f>IF(ISBLANK($D138),"",'Translation Table'!#REF! &amp; "")</f>
        <v/>
      </c>
      <c r="F138" s="84" t="str">
        <f>IF(ISBLANK($D138),"",'Translation Table'!#REF! &amp; "")</f>
        <v/>
      </c>
      <c r="G138" s="84" t="str">
        <f>IF(ISBLANK($D138),"",'Translation Table'!#REF! &amp; "")</f>
        <v/>
      </c>
      <c r="H138" s="84" t="str">
        <f>IF(ISBLANK($D138),"",'Translation Table'!#REF! &amp; "")</f>
        <v/>
      </c>
      <c r="I138" s="84" t="str">
        <f>IF(ISBLANK($D138),"",'Translation Table'!#REF! &amp; "")</f>
        <v/>
      </c>
      <c r="J138" s="84" t="str">
        <f>IF(ISBLANK($D138),"",'Translation Table'!#REF! &amp; "")</f>
        <v/>
      </c>
      <c r="K138" s="84" t="str">
        <f>IF(ISBLANK($D138),"",'Translation Table'!#REF! &amp; "")</f>
        <v/>
      </c>
      <c r="L138" s="84" t="str">
        <f>IF(ISBLANK($D138),"",'Translation Table'!#REF! &amp; "")</f>
        <v/>
      </c>
      <c r="M138" s="84" t="str">
        <f>IF(ISBLANK($D138),"",'Translation Table'!#REF! &amp; "")</f>
        <v/>
      </c>
      <c r="N138" s="84" t="str">
        <f>IF(ISBLANK($D138),"",'Translation Table'!#REF! &amp; "")</f>
        <v/>
      </c>
      <c r="O138" s="84" t="str">
        <f>IF(ISBLANK($D138),"",'Translation Table'!#REF! &amp; "")</f>
        <v/>
      </c>
      <c r="P138" s="84" t="str">
        <f>IF(ISBLANK($D138),"",'Translation Table'!#REF! &amp; "")</f>
        <v/>
      </c>
    </row>
    <row r="139" spans="2:16" x14ac:dyDescent="0.3">
      <c r="B139" s="91" t="s">
        <v>224</v>
      </c>
      <c r="C139" s="96">
        <f ca="1">INDIRECT(CHAR(64+'Translation Table'!$D$1-5)&amp;ROW())</f>
        <v>0</v>
      </c>
      <c r="D139" s="96"/>
      <c r="E139" s="96" t="str">
        <f>IF(ISBLANK($D139),"",'Translation Table'!#REF! &amp; "")</f>
        <v/>
      </c>
      <c r="F139" s="97" t="str">
        <f>IF(ISBLANK($D139),"",'Translation Table'!#REF! &amp; "")</f>
        <v/>
      </c>
      <c r="G139" s="84" t="str">
        <f>IF(ISBLANK($D139),"",'Translation Table'!#REF! &amp; "")</f>
        <v/>
      </c>
      <c r="H139" s="84" t="str">
        <f>IF(ISBLANK($D139),"",'Translation Table'!#REF! &amp; "")</f>
        <v/>
      </c>
      <c r="I139" s="84" t="str">
        <f>IF(ISBLANK($D139),"",'Translation Table'!#REF! &amp; "")</f>
        <v/>
      </c>
      <c r="J139" s="84" t="str">
        <f>IF(ISBLANK($D139),"",'Translation Table'!#REF! &amp; "")</f>
        <v/>
      </c>
      <c r="K139" s="84" t="str">
        <f>IF(ISBLANK($D139),"",'Translation Table'!#REF! &amp; "")</f>
        <v/>
      </c>
      <c r="L139" s="84" t="str">
        <f>IF(ISBLANK($D139),"",'Translation Table'!#REF! &amp; "")</f>
        <v/>
      </c>
      <c r="M139" s="84" t="str">
        <f>IF(ISBLANK($D139),"",'Translation Table'!#REF! &amp; "")</f>
        <v/>
      </c>
      <c r="N139" s="84" t="str">
        <f>IF(ISBLANK($D139),"",'Translation Table'!#REF! &amp; "")</f>
        <v/>
      </c>
      <c r="O139" s="84" t="str">
        <f>IF(ISBLANK($D139),"",'Translation Table'!#REF! &amp; "")</f>
        <v/>
      </c>
      <c r="P139" s="84" t="str">
        <f>IF(ISBLANK($D139),"",'Translation Table'!#REF! &amp; "")</f>
        <v/>
      </c>
    </row>
    <row r="140" spans="2:16" x14ac:dyDescent="0.3">
      <c r="B140" s="54" t="s">
        <v>215</v>
      </c>
      <c r="C140" s="83">
        <f ca="1">INDIRECT(CHAR(64+'Translation Table'!$D$1-5)&amp;ROW())</f>
        <v>0</v>
      </c>
      <c r="D140" s="83"/>
      <c r="E140" s="83" t="str">
        <f>IF(ISBLANK($D140),"",'Translation Table'!#REF! &amp; "")</f>
        <v/>
      </c>
      <c r="F140" s="84" t="str">
        <f>IF(ISBLANK($D140),"",'Translation Table'!#REF! &amp; "")</f>
        <v/>
      </c>
      <c r="G140" s="84" t="str">
        <f>IF(ISBLANK($D140),"",'Translation Table'!#REF! &amp; "")</f>
        <v/>
      </c>
      <c r="H140" s="84" t="str">
        <f>IF(ISBLANK($D140),"",'Translation Table'!#REF! &amp; "")</f>
        <v/>
      </c>
      <c r="I140" s="84" t="str">
        <f>IF(ISBLANK($D140),"",'Translation Table'!#REF! &amp; "")</f>
        <v/>
      </c>
      <c r="J140" s="84" t="str">
        <f>IF(ISBLANK($D140),"",'Translation Table'!#REF! &amp; "")</f>
        <v/>
      </c>
      <c r="K140" s="84" t="str">
        <f>IF(ISBLANK($D140),"",'Translation Table'!#REF! &amp; "")</f>
        <v/>
      </c>
      <c r="L140" s="84" t="str">
        <f>IF(ISBLANK($D140),"",'Translation Table'!#REF! &amp; "")</f>
        <v/>
      </c>
      <c r="M140" s="84" t="str">
        <f>IF(ISBLANK($D140),"",'Translation Table'!#REF! &amp; "")</f>
        <v/>
      </c>
      <c r="N140" s="84" t="str">
        <f>IF(ISBLANK($D140),"",'Translation Table'!#REF! &amp; "")</f>
        <v/>
      </c>
      <c r="O140" s="84" t="str">
        <f>IF(ISBLANK($D140),"",'Translation Table'!#REF! &amp; "")</f>
        <v/>
      </c>
      <c r="P140" s="84" t="str">
        <f>IF(ISBLANK($D140),"",'Translation Table'!#REF! &amp; "")</f>
        <v/>
      </c>
    </row>
    <row r="141" spans="2:16" x14ac:dyDescent="0.3">
      <c r="B141" s="91"/>
      <c r="C141" s="96"/>
      <c r="D141" s="96"/>
      <c r="E141" s="96" t="str">
        <f>IF(ISBLANK($D141),"",'Translation Table'!#REF! &amp; "")</f>
        <v/>
      </c>
      <c r="F141" s="97" t="str">
        <f>IF(ISBLANK($D141),"",'Translation Table'!#REF! &amp; "")</f>
        <v/>
      </c>
      <c r="G141" s="84" t="str">
        <f>IF(ISBLANK($D141),"",'Translation Table'!#REF! &amp; "")</f>
        <v/>
      </c>
      <c r="H141" s="84" t="str">
        <f>IF(ISBLANK($D141),"",'Translation Table'!#REF! &amp; "")</f>
        <v/>
      </c>
      <c r="I141" s="84" t="str">
        <f>IF(ISBLANK($D141),"",'Translation Table'!#REF! &amp; "")</f>
        <v/>
      </c>
      <c r="J141" s="84" t="str">
        <f>IF(ISBLANK($D141),"",'Translation Table'!#REF! &amp; "")</f>
        <v/>
      </c>
      <c r="K141" s="84" t="str">
        <f>IF(ISBLANK($D141),"",'Translation Table'!#REF! &amp; "")</f>
        <v/>
      </c>
      <c r="L141" s="84" t="str">
        <f>IF(ISBLANK($D141),"",'Translation Table'!#REF! &amp; "")</f>
        <v/>
      </c>
      <c r="M141" s="84" t="str">
        <f>IF(ISBLANK($D141),"",'Translation Table'!#REF! &amp; "")</f>
        <v/>
      </c>
      <c r="N141" s="84" t="str">
        <f>IF(ISBLANK($D141),"",'Translation Table'!#REF! &amp; "")</f>
        <v/>
      </c>
      <c r="O141" s="84" t="str">
        <f>IF(ISBLANK($D141),"",'Translation Table'!#REF! &amp; "")</f>
        <v/>
      </c>
      <c r="P141" s="84" t="str">
        <f>IF(ISBLANK($D141),"",'Translation Table'!#REF! &amp; "")</f>
        <v/>
      </c>
    </row>
    <row r="142" spans="2:16" x14ac:dyDescent="0.3">
      <c r="B142" s="54"/>
      <c r="C142" s="83"/>
      <c r="D142" s="83"/>
      <c r="E142" s="83" t="str">
        <f>IF(ISBLANK($D142),"",'Translation Table'!#REF! &amp; "")</f>
        <v/>
      </c>
      <c r="F142" s="84" t="str">
        <f>IF(ISBLANK($D142),"",'Translation Table'!#REF! &amp; "")</f>
        <v/>
      </c>
      <c r="G142" s="84" t="str">
        <f>IF(ISBLANK($D142),"",'Translation Table'!#REF! &amp; "")</f>
        <v/>
      </c>
      <c r="H142" s="84" t="str">
        <f>IF(ISBLANK($D142),"",'Translation Table'!#REF! &amp; "")</f>
        <v/>
      </c>
      <c r="I142" s="84" t="str">
        <f>IF(ISBLANK($D142),"",'Translation Table'!#REF! &amp; "")</f>
        <v/>
      </c>
      <c r="J142" s="84" t="str">
        <f>IF(ISBLANK($D142),"",'Translation Table'!#REF! &amp; "")</f>
        <v/>
      </c>
      <c r="K142" s="84" t="str">
        <f>IF(ISBLANK($D142),"",'Translation Table'!#REF! &amp; "")</f>
        <v/>
      </c>
      <c r="L142" s="84" t="str">
        <f>IF(ISBLANK($D142),"",'Translation Table'!#REF! &amp; "")</f>
        <v/>
      </c>
      <c r="M142" s="84" t="str">
        <f>IF(ISBLANK($D142),"",'Translation Table'!#REF! &amp; "")</f>
        <v/>
      </c>
      <c r="N142" s="84" t="str">
        <f>IF(ISBLANK($D142),"",'Translation Table'!#REF! &amp; "")</f>
        <v/>
      </c>
      <c r="O142" s="84" t="str">
        <f>IF(ISBLANK($D142),"",'Translation Table'!#REF! &amp; "")</f>
        <v/>
      </c>
      <c r="P142" s="84" t="str">
        <f>IF(ISBLANK($D142),"",'Translation Table'!#REF! &amp; "")</f>
        <v/>
      </c>
    </row>
    <row r="143" spans="2:16" x14ac:dyDescent="0.3">
      <c r="B143" s="91"/>
      <c r="C143" s="96"/>
      <c r="D143" s="96"/>
      <c r="E143" s="96" t="str">
        <f>IF(ISBLANK($D143),"",'Translation Table'!#REF! &amp; "")</f>
        <v/>
      </c>
      <c r="F143" s="97" t="str">
        <f>IF(ISBLANK($D143),"",'Translation Table'!#REF! &amp; "")</f>
        <v/>
      </c>
      <c r="G143" s="84" t="str">
        <f>IF(ISBLANK($D143),"",'Translation Table'!#REF! &amp; "")</f>
        <v/>
      </c>
      <c r="H143" s="84" t="str">
        <f>IF(ISBLANK($D143),"",'Translation Table'!#REF! &amp; "")</f>
        <v/>
      </c>
      <c r="I143" s="84" t="str">
        <f>IF(ISBLANK($D143),"",'Translation Table'!#REF! &amp; "")</f>
        <v/>
      </c>
      <c r="J143" s="84" t="str">
        <f>IF(ISBLANK($D143),"",'Translation Table'!#REF! &amp; "")</f>
        <v/>
      </c>
      <c r="K143" s="84" t="str">
        <f>IF(ISBLANK($D143),"",'Translation Table'!#REF! &amp; "")</f>
        <v/>
      </c>
      <c r="L143" s="84" t="str">
        <f>IF(ISBLANK($D143),"",'Translation Table'!#REF! &amp; "")</f>
        <v/>
      </c>
      <c r="M143" s="84" t="str">
        <f>IF(ISBLANK($D143),"",'Translation Table'!#REF! &amp; "")</f>
        <v/>
      </c>
      <c r="N143" s="84" t="str">
        <f>IF(ISBLANK($D143),"",'Translation Table'!#REF! &amp; "")</f>
        <v/>
      </c>
      <c r="O143" s="84" t="str">
        <f>IF(ISBLANK($D143),"",'Translation Table'!#REF! &amp; "")</f>
        <v/>
      </c>
      <c r="P143" s="84" t="str">
        <f>IF(ISBLANK($D143),"",'Translation Table'!#REF! &amp; "")</f>
        <v/>
      </c>
    </row>
    <row r="144" spans="2:16" x14ac:dyDescent="0.3">
      <c r="B144" s="54"/>
      <c r="C144" s="83"/>
      <c r="D144" s="83"/>
      <c r="E144" s="83" t="str">
        <f>IF(ISBLANK($D144),"",'Translation Table'!#REF! &amp; "")</f>
        <v/>
      </c>
      <c r="F144" s="84" t="str">
        <f>IF(ISBLANK($D144),"",'Translation Table'!#REF! &amp; "")</f>
        <v/>
      </c>
      <c r="G144" s="84" t="str">
        <f>IF(ISBLANK($D144),"",'Translation Table'!#REF! &amp; "")</f>
        <v/>
      </c>
      <c r="H144" s="84" t="str">
        <f>IF(ISBLANK($D144),"",'Translation Table'!#REF! &amp; "")</f>
        <v/>
      </c>
      <c r="I144" s="84" t="str">
        <f>IF(ISBLANK($D144),"",'Translation Table'!#REF! &amp; "")</f>
        <v/>
      </c>
      <c r="J144" s="84" t="str">
        <f>IF(ISBLANK($D144),"",'Translation Table'!#REF! &amp; "")</f>
        <v/>
      </c>
      <c r="K144" s="84" t="str">
        <f>IF(ISBLANK($D144),"",'Translation Table'!#REF! &amp; "")</f>
        <v/>
      </c>
      <c r="L144" s="84" t="str">
        <f>IF(ISBLANK($D144),"",'Translation Table'!#REF! &amp; "")</f>
        <v/>
      </c>
      <c r="M144" s="84" t="str">
        <f>IF(ISBLANK($D144),"",'Translation Table'!#REF! &amp; "")</f>
        <v/>
      </c>
      <c r="N144" s="84" t="str">
        <f>IF(ISBLANK($D144),"",'Translation Table'!#REF! &amp; "")</f>
        <v/>
      </c>
      <c r="O144" s="84" t="str">
        <f>IF(ISBLANK($D144),"",'Translation Table'!#REF! &amp; "")</f>
        <v/>
      </c>
      <c r="P144" s="84" t="str">
        <f>IF(ISBLANK($D144),"",'Translation Table'!#REF! &amp; "")</f>
        <v/>
      </c>
    </row>
    <row r="145" spans="2:16" x14ac:dyDescent="0.3">
      <c r="B145" s="91"/>
      <c r="C145" s="96"/>
      <c r="D145" s="96"/>
      <c r="E145" s="96" t="str">
        <f>IF(ISBLANK($D145),"",'Translation Table'!#REF! &amp; "")</f>
        <v/>
      </c>
      <c r="F145" s="97" t="str">
        <f>IF(ISBLANK($D145),"",'Translation Table'!#REF! &amp; "")</f>
        <v/>
      </c>
      <c r="G145" s="84" t="str">
        <f>IF(ISBLANK($D145),"",'Translation Table'!#REF! &amp; "")</f>
        <v/>
      </c>
      <c r="H145" s="84" t="str">
        <f>IF(ISBLANK($D145),"",'Translation Table'!#REF! &amp; "")</f>
        <v/>
      </c>
      <c r="I145" s="84" t="str">
        <f>IF(ISBLANK($D145),"",'Translation Table'!#REF! &amp; "")</f>
        <v/>
      </c>
      <c r="J145" s="84" t="str">
        <f>IF(ISBLANK($D145),"",'Translation Table'!#REF! &amp; "")</f>
        <v/>
      </c>
      <c r="K145" s="84" t="str">
        <f>IF(ISBLANK($D145),"",'Translation Table'!#REF! &amp; "")</f>
        <v/>
      </c>
      <c r="L145" s="84" t="str">
        <f>IF(ISBLANK($D145),"",'Translation Table'!#REF! &amp; "")</f>
        <v/>
      </c>
      <c r="M145" s="84" t="str">
        <f>IF(ISBLANK($D145),"",'Translation Table'!#REF! &amp; "")</f>
        <v/>
      </c>
      <c r="N145" s="84" t="str">
        <f>IF(ISBLANK($D145),"",'Translation Table'!#REF! &amp; "")</f>
        <v/>
      </c>
      <c r="O145" s="84" t="str">
        <f>IF(ISBLANK($D145),"",'Translation Table'!#REF! &amp; "")</f>
        <v/>
      </c>
      <c r="P145" s="84" t="str">
        <f>IF(ISBLANK($D145),"",'Translation Table'!#REF! &amp; "")</f>
        <v/>
      </c>
    </row>
    <row r="146" spans="2:16" x14ac:dyDescent="0.3">
      <c r="B146" s="54"/>
      <c r="C146" s="83"/>
      <c r="D146" s="83"/>
      <c r="E146" s="83" t="str">
        <f>IF(ISBLANK($D146),"",'Translation Table'!#REF! &amp; "")</f>
        <v/>
      </c>
      <c r="F146" s="84" t="str">
        <f>IF(ISBLANK($D146),"",'Translation Table'!#REF! &amp; "")</f>
        <v/>
      </c>
      <c r="G146" s="84" t="str">
        <f>IF(ISBLANK($D146),"",'Translation Table'!#REF! &amp; "")</f>
        <v/>
      </c>
      <c r="H146" s="84" t="str">
        <f>IF(ISBLANK($D146),"",'Translation Table'!#REF! &amp; "")</f>
        <v/>
      </c>
      <c r="I146" s="84" t="str">
        <f>IF(ISBLANK($D146),"",'Translation Table'!#REF! &amp; "")</f>
        <v/>
      </c>
      <c r="J146" s="84" t="str">
        <f>IF(ISBLANK($D146),"",'Translation Table'!#REF! &amp; "")</f>
        <v/>
      </c>
      <c r="K146" s="84" t="str">
        <f>IF(ISBLANK($D146),"",'Translation Table'!#REF! &amp; "")</f>
        <v/>
      </c>
      <c r="L146" s="84" t="str">
        <f>IF(ISBLANK($D146),"",'Translation Table'!#REF! &amp; "")</f>
        <v/>
      </c>
      <c r="M146" s="84" t="str">
        <f>IF(ISBLANK($D146),"",'Translation Table'!#REF! &amp; "")</f>
        <v/>
      </c>
      <c r="N146" s="84" t="str">
        <f>IF(ISBLANK($D146),"",'Translation Table'!#REF! &amp; "")</f>
        <v/>
      </c>
      <c r="O146" s="84" t="str">
        <f>IF(ISBLANK($D146),"",'Translation Table'!#REF! &amp; "")</f>
        <v/>
      </c>
      <c r="P146" s="84" t="str">
        <f>IF(ISBLANK($D146),"",'Translation Table'!#REF! &amp; "")</f>
        <v/>
      </c>
    </row>
    <row r="147" spans="2:16" x14ac:dyDescent="0.3">
      <c r="B147" s="91"/>
      <c r="C147" s="96"/>
      <c r="D147" s="96"/>
      <c r="E147" s="96" t="str">
        <f>IF(ISBLANK($D147),"",'Translation Table'!#REF! &amp; "")</f>
        <v/>
      </c>
      <c r="F147" s="97" t="str">
        <f>IF(ISBLANK($D147),"",'Translation Table'!#REF! &amp; "")</f>
        <v/>
      </c>
      <c r="G147" s="84" t="str">
        <f>IF(ISBLANK($D147),"",'Translation Table'!#REF! &amp; "")</f>
        <v/>
      </c>
      <c r="H147" s="84" t="str">
        <f>IF(ISBLANK($D147),"",'Translation Table'!#REF! &amp; "")</f>
        <v/>
      </c>
      <c r="I147" s="84" t="str">
        <f>IF(ISBLANK($D147),"",'Translation Table'!#REF! &amp; "")</f>
        <v/>
      </c>
      <c r="J147" s="84" t="str">
        <f>IF(ISBLANK($D147),"",'Translation Table'!#REF! &amp; "")</f>
        <v/>
      </c>
      <c r="K147" s="84" t="str">
        <f>IF(ISBLANK($D147),"",'Translation Table'!#REF! &amp; "")</f>
        <v/>
      </c>
      <c r="L147" s="84" t="str">
        <f>IF(ISBLANK($D147),"",'Translation Table'!#REF! &amp; "")</f>
        <v/>
      </c>
      <c r="M147" s="84" t="str">
        <f>IF(ISBLANK($D147),"",'Translation Table'!#REF! &amp; "")</f>
        <v/>
      </c>
      <c r="N147" s="84" t="str">
        <f>IF(ISBLANK($D147),"",'Translation Table'!#REF! &amp; "")</f>
        <v/>
      </c>
      <c r="O147" s="84" t="str">
        <f>IF(ISBLANK($D147),"",'Translation Table'!#REF! &amp; "")</f>
        <v/>
      </c>
      <c r="P147" s="84" t="str">
        <f>IF(ISBLANK($D147),"",'Translation Table'!#REF! &amp; "")</f>
        <v/>
      </c>
    </row>
    <row r="148" spans="2:16" x14ac:dyDescent="0.3">
      <c r="B148" s="54"/>
      <c r="C148" s="83"/>
      <c r="D148" s="83"/>
      <c r="E148" s="83" t="str">
        <f>IF(ISBLANK($D148),"",'Translation Table'!#REF! &amp; "")</f>
        <v/>
      </c>
      <c r="F148" s="84" t="str">
        <f>IF(ISBLANK($D148),"",'Translation Table'!#REF! &amp; "")</f>
        <v/>
      </c>
      <c r="G148" s="84" t="str">
        <f>IF(ISBLANK($D148),"",'Translation Table'!#REF! &amp; "")</f>
        <v/>
      </c>
      <c r="H148" s="84" t="str">
        <f>IF(ISBLANK($D148),"",'Translation Table'!#REF! &amp; "")</f>
        <v/>
      </c>
      <c r="I148" s="84" t="str">
        <f>IF(ISBLANK($D148),"",'Translation Table'!#REF! &amp; "")</f>
        <v/>
      </c>
      <c r="J148" s="84" t="str">
        <f>IF(ISBLANK($D148),"",'Translation Table'!#REF! &amp; "")</f>
        <v/>
      </c>
      <c r="K148" s="84" t="str">
        <f>IF(ISBLANK($D148),"",'Translation Table'!#REF! &amp; "")</f>
        <v/>
      </c>
      <c r="L148" s="84" t="str">
        <f>IF(ISBLANK($D148),"",'Translation Table'!#REF! &amp; "")</f>
        <v/>
      </c>
      <c r="M148" s="84" t="str">
        <f>IF(ISBLANK($D148),"",'Translation Table'!#REF! &amp; "")</f>
        <v/>
      </c>
      <c r="N148" s="84" t="str">
        <f>IF(ISBLANK($D148),"",'Translation Table'!#REF! &amp; "")</f>
        <v/>
      </c>
      <c r="O148" s="84" t="str">
        <f>IF(ISBLANK($D148),"",'Translation Table'!#REF! &amp; "")</f>
        <v/>
      </c>
      <c r="P148" s="84" t="str">
        <f>IF(ISBLANK($D148),"",'Translation Table'!#REF! &amp; "")</f>
        <v/>
      </c>
    </row>
    <row r="149" spans="2:16" x14ac:dyDescent="0.3">
      <c r="B149" s="91"/>
      <c r="C149" s="96"/>
      <c r="D149" s="96"/>
      <c r="E149" s="96" t="str">
        <f>IF(ISBLANK($D149),"",'Translation Table'!#REF! &amp; "")</f>
        <v/>
      </c>
      <c r="F149" s="97" t="str">
        <f>IF(ISBLANK($D149),"",'Translation Table'!#REF! &amp; "")</f>
        <v/>
      </c>
      <c r="G149" s="84" t="str">
        <f>IF(ISBLANK($D149),"",'Translation Table'!#REF! &amp; "")</f>
        <v/>
      </c>
      <c r="H149" s="84" t="str">
        <f>IF(ISBLANK($D149),"",'Translation Table'!#REF! &amp; "")</f>
        <v/>
      </c>
      <c r="I149" s="84" t="str">
        <f>IF(ISBLANK($D149),"",'Translation Table'!#REF! &amp; "")</f>
        <v/>
      </c>
      <c r="J149" s="84" t="str">
        <f>IF(ISBLANK($D149),"",'Translation Table'!#REF! &amp; "")</f>
        <v/>
      </c>
      <c r="K149" s="84" t="str">
        <f>IF(ISBLANK($D149),"",'Translation Table'!#REF! &amp; "")</f>
        <v/>
      </c>
      <c r="L149" s="84" t="str">
        <f>IF(ISBLANK($D149),"",'Translation Table'!#REF! &amp; "")</f>
        <v/>
      </c>
      <c r="M149" s="84" t="str">
        <f>IF(ISBLANK($D149),"",'Translation Table'!#REF! &amp; "")</f>
        <v/>
      </c>
      <c r="N149" s="84" t="str">
        <f>IF(ISBLANK($D149),"",'Translation Table'!#REF! &amp; "")</f>
        <v/>
      </c>
      <c r="O149" s="84" t="str">
        <f>IF(ISBLANK($D149),"",'Translation Table'!#REF! &amp; "")</f>
        <v/>
      </c>
      <c r="P149" s="84" t="str">
        <f>IF(ISBLANK($D149),"",'Translation Table'!#REF! &amp; "")</f>
        <v/>
      </c>
    </row>
    <row r="152" spans="2:16" ht="22.5" x14ac:dyDescent="0.45">
      <c r="B152" s="92" t="s">
        <v>794</v>
      </c>
    </row>
    <row r="154" spans="2:16" ht="15.5" x14ac:dyDescent="0.35">
      <c r="B154" s="88" t="s">
        <v>795</v>
      </c>
      <c r="C154" s="88" t="s">
        <v>796</v>
      </c>
    </row>
    <row r="155" spans="2:16" ht="35.15" customHeight="1" x14ac:dyDescent="0.3">
      <c r="B155" s="86" t="s">
        <v>798</v>
      </c>
    </row>
    <row r="156" spans="2:16" ht="35.15" customHeight="1" x14ac:dyDescent="0.3">
      <c r="B156" s="43" t="s">
        <v>358</v>
      </c>
    </row>
    <row r="157" spans="2:16" ht="35.15" customHeight="1" x14ac:dyDescent="0.3">
      <c r="B157" s="86" t="s">
        <v>797</v>
      </c>
    </row>
  </sheetData>
  <sheetProtection algorithmName="SHA-512" hashValue="DS/kyn/MmbPO/tRhdM6l07ompZvOBdvN+FMYrqiV4wTHnGarWzVk82JJlv3lyqzZXmszHeaXHazB7HY55vi+Ew==" saltValue="BxJWSl9QyZmcchuvUtHo9A==" spinCount="100000" sheet="1" objects="1" scenarios="1"/>
  <sortState xmlns:xlrd2="http://schemas.microsoft.com/office/spreadsheetml/2017/richdata2" ref="B110:B115">
    <sortCondition ref="B110:B115"/>
  </sortState>
  <mergeCells count="5">
    <mergeCell ref="C3:C4"/>
    <mergeCell ref="B3:B4"/>
    <mergeCell ref="D3:E3"/>
    <mergeCell ref="B1:C1"/>
    <mergeCell ref="B83:C83"/>
  </mergeCells>
  <conditionalFormatting sqref="D130:P130">
    <cfRule type="notContainsBlanks" dxfId="1" priority="4">
      <formula>LEN(TRIM(D130))&gt;0</formula>
    </cfRule>
  </conditionalFormatting>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2024-11-20T19:05:11+00:00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lcf76f155ced4ddcb4097134ff3c332f xmlns="1dcf19bd-8966-40bc-8192-1c6096ed41ca">
      <Terms xmlns="http://schemas.microsoft.com/office/infopath/2007/PartnerControls"/>
    </lcf76f155ced4ddcb4097134ff3c332f>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0ED94F6677EA4744A21BDA80C049D5C4" ma:contentTypeVersion="21" ma:contentTypeDescription="Create a new document." ma:contentTypeScope="" ma:versionID="39af7c9e604fd850236aade71c68c8a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1dcf19bd-8966-40bc-8192-1c6096ed41ca" xmlns:ns6="5381e799-50cf-49ac-91df-499b0982a98e" targetNamespace="http://schemas.microsoft.com/office/2006/metadata/properties" ma:root="true" ma:fieldsID="453a462923b9eeac51a9630418829a23" ns1:_="" ns2:_="" ns3:_="" ns4:_="" ns5:_="" ns6:_="">
    <xsd:import namespace="http://schemas.microsoft.com/sharepoint/v3"/>
    <xsd:import namespace="4ffa91fb-a0ff-4ac5-b2db-65c790d184a4"/>
    <xsd:import namespace="http://schemas.microsoft.com/sharepoint.v3"/>
    <xsd:import namespace="http://schemas.microsoft.com/sharepoint/v3/fields"/>
    <xsd:import namespace="1dcf19bd-8966-40bc-8192-1c6096ed41ca"/>
    <xsd:import namespace="5381e799-50cf-49ac-91df-499b0982a98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6:_dlc_DocId" minOccurs="0"/>
                <xsd:element ref="ns6:_dlc_DocIdUrl" minOccurs="0"/>
                <xsd:element ref="ns6:_dlc_DocIdPersistId" minOccurs="0"/>
                <xsd:element ref="ns5:MediaServiceAutoKeyPoints" minOccurs="0"/>
                <xsd:element ref="ns5:MediaServiceKeyPoints" minOccurs="0"/>
                <xsd:element ref="ns5:MediaServiceDateTaken" minOccurs="0"/>
                <xsd:element ref="ns5:MediaServiceAutoTags" minOccurs="0"/>
                <xsd:element ref="ns5:MediaServiceLocation" minOccurs="0"/>
                <xsd:element ref="ns5:MediaServiceGenerationTime" minOccurs="0"/>
                <xsd:element ref="ns5:MediaServiceEventHashCode" minOccurs="0"/>
                <xsd:element ref="ns5:MediaServiceOCR" minOccurs="0"/>
                <xsd:element ref="ns5:MediaLengthInSeconds" minOccurs="0"/>
                <xsd:element ref="ns1:_ip_UnifiedCompliancePolicyProperties" minOccurs="0"/>
                <xsd:element ref="ns1:_ip_UnifiedCompliancePolicyUIAction"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a76d39c8-2702-4b0a-9443-7286401c36e2}" ma:internalName="TaxCatchAllLabel" ma:readOnly="true" ma:showField="CatchAllDataLabel" ma:web="5381e799-50cf-49ac-91df-499b0982a98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a76d39c8-2702-4b0a-9443-7286401c36e2}" ma:internalName="TaxCatchAll" ma:showField="CatchAllData" ma:web="5381e799-50cf-49ac-91df-499b0982a9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f19bd-8966-40bc-8192-1c6096ed41c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element name="MediaLengthInSeconds" ma:index="43" nillable="true" ma:displayName="Length (seconds)" ma:internalName="MediaLengthInSeconds" ma:readOnly="true">
      <xsd:simpleType>
        <xsd:restriction base="dms:Unknown"/>
      </xsd:simpleType>
    </xsd:element>
    <xsd:element name="lcf76f155ced4ddcb4097134ff3c332f" ma:index="47"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81e799-50cf-49ac-91df-499b0982a98e"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2A8F22-216E-46E6-92CE-488DE429CF76}">
  <ds:schemaRefs>
    <ds:schemaRef ds:uri="http://schemas.microsoft.com/sharepoint.v3"/>
    <ds:schemaRef ds:uri="5381e799-50cf-49ac-91df-499b0982a98e"/>
    <ds:schemaRef ds:uri="http://purl.org/dc/terms/"/>
    <ds:schemaRef ds:uri="http://schemas.openxmlformats.org/package/2006/metadata/core-properties"/>
    <ds:schemaRef ds:uri="http://purl.org/dc/elements/1.1/"/>
    <ds:schemaRef ds:uri="4ffa91fb-a0ff-4ac5-b2db-65c790d184a4"/>
    <ds:schemaRef ds:uri="http://purl.org/dc/dcmityp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1dcf19bd-8966-40bc-8192-1c6096ed41ca"/>
    <ds:schemaRef ds:uri="http://schemas.microsoft.com/sharepoint/v3/fields"/>
    <ds:schemaRef ds:uri="http://schemas.microsoft.com/sharepoint/v3"/>
  </ds:schemaRefs>
</ds:datastoreItem>
</file>

<file path=customXml/itemProps2.xml><?xml version="1.0" encoding="utf-8"?>
<ds:datastoreItem xmlns:ds="http://schemas.openxmlformats.org/officeDocument/2006/customXml" ds:itemID="{83412D94-36F6-414C-BBCD-E64FA8CF502D}">
  <ds:schemaRefs>
    <ds:schemaRef ds:uri="http://schemas.microsoft.com/sharepoint/events"/>
  </ds:schemaRefs>
</ds:datastoreItem>
</file>

<file path=customXml/itemProps3.xml><?xml version="1.0" encoding="utf-8"?>
<ds:datastoreItem xmlns:ds="http://schemas.openxmlformats.org/officeDocument/2006/customXml" ds:itemID="{1D81E788-5746-4CC5-9274-475B3FA0788E}">
  <ds:schemaRefs>
    <ds:schemaRef ds:uri="Microsoft.SharePoint.Taxonomy.ContentTypeSync"/>
  </ds:schemaRefs>
</ds:datastoreItem>
</file>

<file path=customXml/itemProps4.xml><?xml version="1.0" encoding="utf-8"?>
<ds:datastoreItem xmlns:ds="http://schemas.openxmlformats.org/officeDocument/2006/customXml" ds:itemID="{29B60406-C2A6-46F5-957D-4A2DE46475E3}">
  <ds:schemaRefs>
    <ds:schemaRef ds:uri="http://schemas.microsoft.com/sharepoint/v3/contenttype/forms"/>
  </ds:schemaRefs>
</ds:datastoreItem>
</file>

<file path=customXml/itemProps5.xml><?xml version="1.0" encoding="utf-8"?>
<ds:datastoreItem xmlns:ds="http://schemas.openxmlformats.org/officeDocument/2006/customXml" ds:itemID="{CEFAEFE5-67D7-43BE-BCEF-4C2BBCF69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1dcf19bd-8966-40bc-8192-1c6096ed41ca"/>
    <ds:schemaRef ds:uri="5381e799-50cf-49ac-91df-499b0982a9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76</vt:i4>
      </vt:variant>
    </vt:vector>
  </HeadingPairs>
  <TitlesOfParts>
    <vt:vector size="87" baseType="lpstr">
      <vt:lpstr>Cover</vt:lpstr>
      <vt:lpstr>Language &amp; User Guidance</vt:lpstr>
      <vt:lpstr>Contents</vt:lpstr>
      <vt:lpstr>Results (Graphical)</vt:lpstr>
      <vt:lpstr>Results (Tabular)</vt:lpstr>
      <vt:lpstr>Setup - IPCC Assessment</vt:lpstr>
      <vt:lpstr>Calculations – IPCC</vt:lpstr>
      <vt:lpstr>Constants</vt:lpstr>
      <vt:lpstr>Lookup Tables</vt:lpstr>
      <vt:lpstr>Lookup Lists</vt:lpstr>
      <vt:lpstr>Translation Table</vt:lpstr>
      <vt:lpstr>AppType</vt:lpstr>
      <vt:lpstr>DehydratorType</vt:lpstr>
      <vt:lpstr>English</vt:lpstr>
      <vt:lpstr>EspañolColombia</vt:lpstr>
      <vt:lpstr>GasDistribution</vt:lpstr>
      <vt:lpstr>GaseousFuels</vt:lpstr>
      <vt:lpstr>GasProcessing</vt:lpstr>
      <vt:lpstr>GasStorage</vt:lpstr>
      <vt:lpstr>GasTransmission</vt:lpstr>
      <vt:lpstr>Heavy</vt:lpstr>
      <vt:lpstr>HydrocarbonLiquids</vt:lpstr>
      <vt:lpstr>Light</vt:lpstr>
      <vt:lpstr>LiquidFuels</vt:lpstr>
      <vt:lpstr>M_C</vt:lpstr>
      <vt:lpstr>M_C10</vt:lpstr>
      <vt:lpstr>M_C2</vt:lpstr>
      <vt:lpstr>M_C3</vt:lpstr>
      <vt:lpstr>M_C6</vt:lpstr>
      <vt:lpstr>M_C7</vt:lpstr>
      <vt:lpstr>M_C8</vt:lpstr>
      <vt:lpstr>M_C9</vt:lpstr>
      <vt:lpstr>M_CH4</vt:lpstr>
      <vt:lpstr>M_CO</vt:lpstr>
      <vt:lpstr>M_CO2</vt:lpstr>
      <vt:lpstr>M_H</vt:lpstr>
      <vt:lpstr>M_H2O</vt:lpstr>
      <vt:lpstr>M_H2S</vt:lpstr>
      <vt:lpstr>M_iC4</vt:lpstr>
      <vt:lpstr>M_iC5</vt:lpstr>
      <vt:lpstr>M_N</vt:lpstr>
      <vt:lpstr>M_N2</vt:lpstr>
      <vt:lpstr>M_N2O</vt:lpstr>
      <vt:lpstr>M_nC4</vt:lpstr>
      <vt:lpstr>M_nC5</vt:lpstr>
      <vt:lpstr>M_NMVOC</vt:lpstr>
      <vt:lpstr>M_NOx</vt:lpstr>
      <vt:lpstr>M_O</vt:lpstr>
      <vt:lpstr>M_O2</vt:lpstr>
      <vt:lpstr>M_S</vt:lpstr>
      <vt:lpstr>M_SO2</vt:lpstr>
      <vt:lpstr>Medium</vt:lpstr>
      <vt:lpstr>NaturalGas</vt:lpstr>
      <vt:lpstr>OffshoreProduction</vt:lpstr>
      <vt:lpstr>OnshoreProduction</vt:lpstr>
      <vt:lpstr>'Results (Graphical)'!Print_Area</vt:lpstr>
      <vt:lpstr>'Results (Tabular)'!Print_Area</vt:lpstr>
      <vt:lpstr>'Setup - IPCC Assessment'!Print_Area</vt:lpstr>
      <vt:lpstr>'Setup - IPCC Assessment'!Print_Titles</vt:lpstr>
      <vt:lpstr>Ps</vt:lpstr>
      <vt:lpstr>RangeSource</vt:lpstr>
      <vt:lpstr>SolidFuels</vt:lpstr>
      <vt:lpstr>SourceOfProperty</vt:lpstr>
      <vt:lpstr>SourceOfQuantity</vt:lpstr>
      <vt:lpstr>start</vt:lpstr>
      <vt:lpstr>TblErrorMsg</vt:lpstr>
      <vt:lpstr>Ts</vt:lpstr>
      <vt:lpstr>ValidCompCrankcaseCF</vt:lpstr>
      <vt:lpstr>ValidCompSealCF</vt:lpstr>
      <vt:lpstr>ValidConnectorCF</vt:lpstr>
      <vt:lpstr>ValidControllerTypes</vt:lpstr>
      <vt:lpstr>ValidDehydratorTypes</vt:lpstr>
      <vt:lpstr>ValidDrainCF</vt:lpstr>
      <vt:lpstr>ValidHydrocarbonLiquidCategories</vt:lpstr>
      <vt:lpstr>ValidIndustrySegments</vt:lpstr>
      <vt:lpstr>ValidOELCF</vt:lpstr>
      <vt:lpstr>ValidOtherCF</vt:lpstr>
      <vt:lpstr>ValidPneumaticSupplyGas</vt:lpstr>
      <vt:lpstr>ValidPRVCF</vt:lpstr>
      <vt:lpstr>ValidPumpCF</vt:lpstr>
      <vt:lpstr>ValidRegulatorCF</vt:lpstr>
      <vt:lpstr>ValidSampConCF</vt:lpstr>
      <vt:lpstr>ValidUnitConversions</vt:lpstr>
      <vt:lpstr>ValidValveCF</vt:lpstr>
      <vt:lpstr>VeryHeavy</vt:lpstr>
      <vt:lpstr>Vstp</vt:lpstr>
      <vt:lpstr>中文</vt:lpstr>
    </vt:vector>
  </TitlesOfParts>
  <Company>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Picard [DP]</dc:creator>
  <cp:lastModifiedBy>Meluch, Andrew (he/him/his)</cp:lastModifiedBy>
  <cp:lastPrinted>2023-12-27T09:04:49Z</cp:lastPrinted>
  <dcterms:created xsi:type="dcterms:W3CDTF">2016-06-20T18:52:20Z</dcterms:created>
  <dcterms:modified xsi:type="dcterms:W3CDTF">2025-01-15T00:01:21Z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0x0101000ED94F6677EA4744A21BDA80C049D5C4</vt:lpwstr>
  </property>
  <property fmtid="{D5CDD505-2E9C-101B-9397-08002B2CF9AE}" pid="3" name="TaxKeyword">
    <vt:lpwstr/>
  </property>
  <property fmtid="{D5CDD505-2E9C-101B-9397-08002B2CF9AE}" pid="4" name="Document_x0020_Type">
    <vt:lpwstr/>
  </property>
  <property fmtid="{D5CDD505-2E9C-101B-9397-08002B2CF9AE}" pid="5" name="MediaServiceImageTags">
    <vt:lpwstr/>
  </property>
  <property fmtid="{D5CDD505-2E9C-101B-9397-08002B2CF9AE}" pid="6" name="e3f09c3df709400db2417a7161762d62">
    <vt:lpwstr/>
  </property>
  <property fmtid="{D5CDD505-2E9C-101B-9397-08002B2CF9AE}" pid="7" name="EPA_x0020_Subject">
    <vt:lpwstr/>
  </property>
  <property fmtid="{D5CDD505-2E9C-101B-9397-08002B2CF9AE}" pid="8" name="EPA Subject">
    <vt:lpwstr/>
  </property>
  <property fmtid="{D5CDD505-2E9C-101B-9397-08002B2CF9AE}" pid="9" name="Document Type">
    <vt:lpwstr/>
  </property>
</Properties>
</file>